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Default Extension="vml" ContentType="application/vnd.openxmlformats-officedocument.vmlDrawing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36" firstSheet="48" activeTab="56"/>
  </bookViews>
  <sheets>
    <sheet name="1.régi" sheetId="1" state="hidden" r:id="rId1"/>
    <sheet name="Intézmények" sheetId="2" state="hidden" r:id="rId2"/>
    <sheet name="füzet" sheetId="3" state="hidden" r:id="rId3"/>
    <sheet name="ellenőrző" sheetId="4" state="hidden" r:id="rId4"/>
    <sheet name="Tartalomjegyzék" sheetId="5" r:id="rId5"/>
    <sheet name="1.Összesítő" sheetId="6" r:id="rId6"/>
    <sheet name="1.1.KTV-I mérleg" sheetId="7" r:id="rId7"/>
    <sheet name="1.2.Többéves kihat" sheetId="8" r:id="rId8"/>
    <sheet name="1.3. Mérleg" sheetId="9" r:id="rId9"/>
    <sheet name="1.4.EU-S" sheetId="10" r:id="rId10"/>
    <sheet name="1.5. Létszám" sheetId="11" r:id="rId11"/>
    <sheet name="2.ÖNKORMÁNYZAT" sheetId="12" r:id="rId12"/>
    <sheet name="2.1 Bevétel" sheetId="13" r:id="rId13"/>
    <sheet name="2.2 Kp-i tám" sheetId="14" r:id="rId14"/>
    <sheet name="2.3.Kiad." sheetId="15" r:id="rId15"/>
    <sheet name="2.4.Átad.Peszk." sheetId="16" r:id="rId16"/>
    <sheet name="2.5.Céltart" sheetId="17" r:id="rId17"/>
    <sheet name="2.6. segély" sheetId="18" r:id="rId18"/>
    <sheet name="2.7.Beruh" sheetId="19" r:id="rId19"/>
    <sheet name="2.8.Felúj." sheetId="20" r:id="rId20"/>
    <sheet name="2.9.ADÓSSÁG" sheetId="21" r:id="rId21"/>
    <sheet name="2.10. Előir.felh." sheetId="22" r:id="rId22"/>
    <sheet name="2.11. Közv. tám" sheetId="23" r:id="rId23"/>
    <sheet name="3.POLGÁRMESTERI HIVATAL" sheetId="24" r:id="rId24"/>
    <sheet name="3.1.Bevétel POHI" sheetId="25" r:id="rId25"/>
    <sheet name="3.2.Kiad. POHI" sheetId="26" r:id="rId26"/>
    <sheet name="3.3. Segély Pohi" sheetId="27" r:id="rId27"/>
    <sheet name="3.4. Átadott pe" sheetId="28" r:id="rId28"/>
    <sheet name="3.5.Beruh POHI" sheetId="29" r:id="rId29"/>
    <sheet name="3.6.Felúj. POHI" sheetId="30" r:id="rId30"/>
    <sheet name="3.7. Előir.felh. POHI" sheetId="31" r:id="rId31"/>
    <sheet name="INTÉZMÉNYEK Ö" sheetId="32" r:id="rId32"/>
    <sheet name="4. iNT ÖSSZESÍTŐ" sheetId="33" r:id="rId33"/>
    <sheet name="4.1.HSZI bev-kiad" sheetId="34" r:id="rId34"/>
    <sheet name="4.2. HSZI beruh" sheetId="35" r:id="rId35"/>
    <sheet name="4.3. SZOCIFOGI bev-kiad" sheetId="36" r:id="rId36"/>
    <sheet name="4.4. SZOCIFOGI beruh" sheetId="37" r:id="rId37"/>
    <sheet name="4.5. CSILI bev-kiad" sheetId="38" r:id="rId38"/>
    <sheet name="4.6. CSILI beruh" sheetId="39" r:id="rId39"/>
    <sheet name="4.7. MÚZ bev-kiad" sheetId="40" r:id="rId40"/>
    <sheet name="4.8. MÚZ beruh" sheetId="41" r:id="rId41"/>
    <sheet name="4.9. BAROSS bev-kiad" sheetId="42" r:id="rId42"/>
    <sheet name="4.10. BAROSS beruh" sheetId="43" r:id="rId43"/>
    <sheet name="4.11. GÉZ bev-kiad" sheetId="44" r:id="rId44"/>
    <sheet name="4.12. GÉZ beruh" sheetId="45" r:id="rId45"/>
    <sheet name="4.13. LUR bev-kiad" sheetId="46" r:id="rId46"/>
    <sheet name="4.14. LUR beruh" sheetId="47" r:id="rId47"/>
    <sheet name="4.15. NYIT bev-kiad" sheetId="48" r:id="rId48"/>
    <sheet name="4.16. NYIT beruh" sheetId="49" r:id="rId49"/>
    <sheet name="4.17. GYMOS bev-kiad" sheetId="50" r:id="rId50"/>
    <sheet name="4.18. GYMOS beruh" sheetId="51" r:id="rId51"/>
    <sheet name="4.19. KER bev-kiad" sheetId="52" r:id="rId52"/>
    <sheet name="4.20. KER beruh" sheetId="53" r:id="rId53"/>
    <sheet name="4.21. GAMESZ bev-kiad" sheetId="54" r:id="rId54"/>
    <sheet name="4.22. GAMESZ beruh" sheetId="55" r:id="rId55"/>
    <sheet name="4.23. Előir.felh. " sheetId="56" r:id="rId56"/>
    <sheet name="4.24. Közv. tám" sheetId="57" r:id="rId57"/>
    <sheet name="15.elői.felhaszn." sheetId="58" state="hidden" r:id="rId58"/>
  </sheets>
  <externalReferences>
    <externalReference r:id="rId61"/>
    <externalReference r:id="rId62"/>
  </externalReferences>
  <definedNames>
    <definedName name="_xlnm._FilterDatabase" localSheetId="2" hidden="1">'füzet'!$A$1:$L$745</definedName>
    <definedName name="_xlnm.Print_Titles" localSheetId="12">'2.1 Bevétel'!$1:$2</definedName>
    <definedName name="_xlnm.Print_Titles" localSheetId="15">'2.4.Átad.Peszk.'!$1:$2</definedName>
    <definedName name="_xlnm.Print_Titles" localSheetId="16">'2.5.Céltart'!$1:$1</definedName>
    <definedName name="_xlnm.Print_Titles" localSheetId="18">'2.7.Beruh'!$1:$2</definedName>
    <definedName name="_xlnm.Print_Titles" localSheetId="24">'3.1.Bevétel POHI'!$1:$2</definedName>
    <definedName name="_xlnm.Print_Titles" localSheetId="27">'3.4. Átadott pe'!$1:$2</definedName>
    <definedName name="_xlnm.Print_Titles" localSheetId="2">'füzet'!$1:$2</definedName>
    <definedName name="_xlnm.Print_Area" localSheetId="12">'2.1 Bevétel'!$A$1:$H$91</definedName>
    <definedName name="_xlnm.Print_Area" localSheetId="19">'2.8.Felúj.'!$A$1:$H$39</definedName>
    <definedName name="_xlnm.Print_Area" localSheetId="20">'2.9.ADÓSSÁG'!$A$1:$K$39</definedName>
    <definedName name="_xlnm.Print_Area" localSheetId="24">'3.1.Bevétel POHI'!$A$1:$H$31</definedName>
    <definedName name="_xlnm.Print_Area" localSheetId="29">'3.6.Felúj. POHI'!$A$1:$H$15</definedName>
    <definedName name="_xlnm.Print_Area" localSheetId="30">'3.7. Előir.felh. POHI'!$A$1:$O$29</definedName>
    <definedName name="_xlnm.Print_Area" localSheetId="32">'4. iNT ÖSSZESÍTŐ'!$A$1:$H$49</definedName>
    <definedName name="_xlnm.Print_Area" localSheetId="33">'4.1.HSZI bev-kiad'!$A$1:$H$51</definedName>
    <definedName name="_xlnm.Print_Area" localSheetId="43">'4.11. GÉZ bev-kiad'!$A$1:$H$49</definedName>
    <definedName name="_xlnm.Print_Area" localSheetId="45">'4.13. LUR bev-kiad'!$A$1:$H$49</definedName>
    <definedName name="_xlnm.Print_Area" localSheetId="47">'4.15. NYIT bev-kiad'!$A$1:$H$49</definedName>
    <definedName name="_xlnm.Print_Area" localSheetId="49">'4.17. GYMOS bev-kiad'!$A$1:$H$49</definedName>
    <definedName name="_xlnm.Print_Area" localSheetId="51">'4.19. KER bev-kiad'!$A$1:$H$49</definedName>
    <definedName name="_xlnm.Print_Area" localSheetId="53">'4.21. GAMESZ bev-kiad'!$A$1:$H$49</definedName>
    <definedName name="_xlnm.Print_Area" localSheetId="35">'4.3. SZOCIFOGI bev-kiad'!$A$1:$H$52</definedName>
    <definedName name="_xlnm.Print_Area" localSheetId="37">'4.5. CSILI bev-kiad'!$A$1:$H$52</definedName>
    <definedName name="_xlnm.Print_Area" localSheetId="39">'4.7. MÚZ bev-kiad'!$A$1:$H$49</definedName>
    <definedName name="_xlnm.Print_Area" localSheetId="41">'4.9. BAROSS bev-kiad'!$A$1:$H$49</definedName>
    <definedName name="_xlnm.Print_Area" localSheetId="2">'füzet'!$C$1:$J$659</definedName>
    <definedName name="_xlnm.Print_Area" localSheetId="4">'Tartalomjegyzék'!$A$1:$D$56</definedName>
  </definedNames>
  <calcPr fullCalcOnLoad="1" fullPrecision="0"/>
</workbook>
</file>

<file path=xl/comments56.xml><?xml version="1.0" encoding="utf-8"?>
<comments xmlns="http://schemas.openxmlformats.org/spreadsheetml/2006/main">
  <authors>
    <author>Kaposv?ri N?ra</author>
  </authors>
  <commentList>
    <comment ref="O18" authorId="0">
      <text>
        <r>
          <rPr>
            <b/>
            <sz val="9"/>
            <rFont val="Segoe UI"/>
            <family val="2"/>
          </rPr>
          <t>Kaposvári Nóra: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<sst xmlns="http://schemas.openxmlformats.org/spreadsheetml/2006/main" count="3444" uniqueCount="1349">
  <si>
    <t xml:space="preserve">    9.2. Pesterzsébeti Bolgár Önkormányzat</t>
  </si>
  <si>
    <t xml:space="preserve">    9.3. Német Nemzetiségi Önkormányzat Pesterzsébet</t>
  </si>
  <si>
    <t xml:space="preserve">    9.4. Pesterzsébeti Örmény Nemzetiségi Önkormányzat</t>
  </si>
  <si>
    <t xml:space="preserve">    9.5. Pesterzsébet Szlovák Önkormányzata</t>
  </si>
  <si>
    <t xml:space="preserve">    9.6. Pesterzsébeti Lengyel Nemzetiségi Önkormányzat</t>
  </si>
  <si>
    <t xml:space="preserve">    7.1. Köztemetés költsége (önkormányzatoknak)</t>
  </si>
  <si>
    <t xml:space="preserve">    7.2. Fővárosi Szabó Ervin Könyvtár</t>
  </si>
  <si>
    <t>Zrínyi Miklós Általános Iskola</t>
  </si>
  <si>
    <t>Felh. és tőkejell. bev.</t>
  </si>
  <si>
    <t>bev. össz.:</t>
  </si>
  <si>
    <t>kiad. össz.:</t>
  </si>
  <si>
    <t xml:space="preserve">      3.6.   Egyéb jövedelempótló támogatások</t>
  </si>
  <si>
    <t>6. Kölcsönök visszatérülése államházt. kívülről</t>
  </si>
  <si>
    <t xml:space="preserve">        6.3. Gaál Imre Ifj. és Gyermek Képzőműv. St. A.-ból pe. átvét.</t>
  </si>
  <si>
    <t>1.Müködési kiadás</t>
  </si>
  <si>
    <t xml:space="preserve">    1.1  Személyi juttatások</t>
  </si>
  <si>
    <t xml:space="preserve">      3.12.Központi céltám. Székelyhíd u. csatorna építésre</t>
  </si>
  <si>
    <t>Család és Gyermekvédelmi Központ</t>
  </si>
  <si>
    <t xml:space="preserve">      3.8.   Szociális ágazatban dolgozók 2002.évi pótléka</t>
  </si>
  <si>
    <t>Átadott pénzeszközök összesen</t>
  </si>
  <si>
    <t>Felhalmozási célú bevételek és kiadások</t>
  </si>
  <si>
    <t>Hiány összesen:</t>
  </si>
  <si>
    <t xml:space="preserve">       4.1.14.Orsz. Közokt. És Ért. Vizsg.-tól átvett pe.</t>
  </si>
  <si>
    <t xml:space="preserve">        7.1. Ingatlanok, telkek, nem lakáscélú hely. értékesítése.</t>
  </si>
  <si>
    <t xml:space="preserve">        7.2. Önkormányzati lakások elidegenítése</t>
  </si>
  <si>
    <t>Vörösmarty Mihály Általános Iskola és Logopédiai Intézet</t>
  </si>
  <si>
    <t>Pesterzsébeti Pedagógiai Intézet</t>
  </si>
  <si>
    <t xml:space="preserve">      2.3. Egyéb sajátos folyó bevételek</t>
  </si>
  <si>
    <t xml:space="preserve">             2.3.1. Önkormányzati lakások lakbérbevétele</t>
  </si>
  <si>
    <t xml:space="preserve">         6.1. Felhalmozási célú pénzeszközátvétel
                 lakosságtól - helyi támogatás</t>
  </si>
  <si>
    <t>2002. 11.13.
előirányzat</t>
  </si>
  <si>
    <t xml:space="preserve">             2.2.1. Normatíva áteng.szem.jöv.adó</t>
  </si>
  <si>
    <t xml:space="preserve">        4.2.6.2001.évi csatornaépítésre Főv-i céltámogatás</t>
  </si>
  <si>
    <t>5. Pénzeszközátvétel az államháztartáson kívülről</t>
  </si>
  <si>
    <t>5.1. Működési célra átvett pénzeszközök</t>
  </si>
  <si>
    <t>Gróf Széchenyi István Általános Iskola és Szakiskola</t>
  </si>
  <si>
    <t xml:space="preserve">           1.2.3. Egyéb bevételek</t>
  </si>
  <si>
    <t>2. Önkormányzatok sajátos működési bevételei</t>
  </si>
  <si>
    <t xml:space="preserve">             2.3.5. LUX-TEX Kft által fizetett bérleti díj</t>
  </si>
  <si>
    <t xml:space="preserve">        4.2.5.   Német Kisebbségi Önkormányzattól                                                               -Török  Fl. 90. lépcsőfelújításra</t>
  </si>
  <si>
    <t xml:space="preserve">                       - Román Kisebbségi Önkormányzat</t>
  </si>
  <si>
    <t>javaslat</t>
  </si>
  <si>
    <t>jan.</t>
  </si>
  <si>
    <t>febr.</t>
  </si>
  <si>
    <t>Megjegyzés</t>
  </si>
  <si>
    <t>Sor új összege</t>
  </si>
  <si>
    <t>Gondozási Központ</t>
  </si>
  <si>
    <t>ONIGESZ  összesen</t>
  </si>
  <si>
    <t>BEVÉTEL</t>
  </si>
  <si>
    <t>KIADÁS</t>
  </si>
  <si>
    <t>Módosított előirányzat</t>
  </si>
  <si>
    <t>Működ. bev.</t>
  </si>
  <si>
    <t>Részben önállóan gazdálkodó intézmények</t>
  </si>
  <si>
    <t>Felügyeleti szervtől kapott tám.</t>
  </si>
  <si>
    <t>Támogatás értékű bev. (OEP tám.)</t>
  </si>
  <si>
    <t>ÁH-n kívülről kapott végleges p.e.</t>
  </si>
  <si>
    <t>Hitelek, tám. visszatér.</t>
  </si>
  <si>
    <t>Személyi juttatások</t>
  </si>
  <si>
    <t>Munkaadót terhelő jár.</t>
  </si>
  <si>
    <t>Dologi kiad.</t>
  </si>
  <si>
    <t>Támogatás értékű kiad.</t>
  </si>
  <si>
    <t>Államházt. kívülre végl. p.e. átadás</t>
  </si>
  <si>
    <t>Felhalm. kiad.</t>
  </si>
  <si>
    <t>Hitelek, kölcsönök nyújt., törl.</t>
  </si>
  <si>
    <t xml:space="preserve">        4.2.8.2002.évi csatornaépítésre Főv-i céltámogatás</t>
  </si>
  <si>
    <t>Összesen:</t>
  </si>
  <si>
    <t xml:space="preserve">       4.1.16.Orsz.Széchenyi Könyvtártól tám.-Kúlt.Szak.képz.</t>
  </si>
  <si>
    <t xml:space="preserve">       4.1.17.2002.évi önk-i.választások költségei</t>
  </si>
  <si>
    <t xml:space="preserve">        7.6.  Részvények után járó osztalék</t>
  </si>
  <si>
    <t xml:space="preserve">        7.7. Ingatlan elidegenítése-Német.Kisebbségi Önkorm.</t>
  </si>
  <si>
    <t>Intézmények összesen</t>
  </si>
  <si>
    <t>Pesterzsébet Önkormányzata több éves kihatással járó döntései (TÁJÉKOZTATÓ TÁBLA)</t>
  </si>
  <si>
    <t>Központi támogatás összege                       (Ft-ban)</t>
  </si>
  <si>
    <t>Beszámítás összege (Ft-ban)</t>
  </si>
  <si>
    <t>Beszámítás utáni támogatás összege (Ft-ban)</t>
  </si>
  <si>
    <t>Egyéb önkormányzati feladatok támogatása</t>
  </si>
  <si>
    <t>ebből: - oktatásban részt vevők pénzeli juttatása</t>
  </si>
  <si>
    <t>INTÉZMÉNY KIADÁSAI ÖSSZESEN:</t>
  </si>
  <si>
    <t>INTÉZMÉNY BEVÉTELEI ÖSSZESEN:</t>
  </si>
  <si>
    <t>4. Intézmények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</si>
  <si>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</si>
  <si>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</si>
  <si>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</si>
  <si>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</si>
  <si>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</si>
  <si>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</si>
  <si>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</si>
  <si>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</si>
  <si>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 xml:space="preserve"> 4.9</t>
  </si>
  <si>
    <t xml:space="preserve"> 4.10</t>
  </si>
  <si>
    <t xml:space="preserve"> 4.11</t>
  </si>
  <si>
    <t xml:space="preserve"> 4.12</t>
  </si>
  <si>
    <t xml:space="preserve"> 4.13</t>
  </si>
  <si>
    <t xml:space="preserve"> 4.14</t>
  </si>
  <si>
    <t xml:space="preserve"> 4.15</t>
  </si>
  <si>
    <t xml:space="preserve"> 4.16</t>
  </si>
  <si>
    <t xml:space="preserve"> 4.17</t>
  </si>
  <si>
    <t xml:space="preserve"> 4.18</t>
  </si>
  <si>
    <t xml:space="preserve"> 4.19</t>
  </si>
  <si>
    <t xml:space="preserve"> 4.20</t>
  </si>
  <si>
    <t xml:space="preserve"> 4.21</t>
  </si>
  <si>
    <t xml:space="preserve"> 4.22</t>
  </si>
  <si>
    <t xml:space="preserve"> 4.23</t>
  </si>
  <si>
    <t xml:space="preserve"> 4.24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</si>
  <si>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</si>
  <si>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</si>
  <si>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</si>
  <si>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</si>
  <si>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</si>
  <si>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</si>
  <si>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</si>
  <si>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</t>
  </si>
  <si>
    <t>K5</t>
  </si>
  <si>
    <t>EGYÉB MŰKÖDÉSI CÉLÚ KIADÁSOK</t>
  </si>
  <si>
    <t>Egyéb működési célú támogatások ÁH-n belülre</t>
  </si>
  <si>
    <t>Szolgáltatások ellenértéke</t>
  </si>
  <si>
    <t>Egyéb működési célú támogatások ÁH-n belülre (2.4. tábla)</t>
  </si>
  <si>
    <t>K507</t>
  </si>
  <si>
    <t>Működési célú garancia- és kezességvállalásból származó kifizetés ÁH-n kívülre</t>
  </si>
  <si>
    <t>Egyéb működési célú támogatások ÁH-n kívülre (2.4. tábla)</t>
  </si>
  <si>
    <t>Tartalékok (2.5. tábla)</t>
  </si>
  <si>
    <t>BERUHÁZÁSOK</t>
  </si>
  <si>
    <t>K7</t>
  </si>
  <si>
    <t>FELÚJÍTÁSOK</t>
  </si>
  <si>
    <t>K8</t>
  </si>
  <si>
    <t>EGYÉB FELHALMOZÁSI CÉLÚ KIADÁSOK</t>
  </si>
  <si>
    <t>Egyéb felhalmozási célú támogatások ÁH-n belülre (2.4. tábla)</t>
  </si>
  <si>
    <t>K86</t>
  </si>
  <si>
    <t>Felhalmozási célú visszatérítendő támogatások, kölcsönök törlesztése ÁH-n kívülre</t>
  </si>
  <si>
    <t>K9</t>
  </si>
  <si>
    <t>FINANSZÍROZÁSI KIADÁSOK</t>
  </si>
  <si>
    <t>K915</t>
  </si>
  <si>
    <t>Központi irányító szervi támogatás folyósítása</t>
  </si>
  <si>
    <t>1. Működési célú felügyeleti szervi támogatás</t>
  </si>
  <si>
    <t xml:space="preserve">   - Intézmények</t>
  </si>
  <si>
    <t xml:space="preserve">   - Polgármesteri Hivatal</t>
  </si>
  <si>
    <t>2. Felhalmozási célú felügyeleti szervi támogatás</t>
  </si>
  <si>
    <t>Önkormányzat kiadásai összesen:</t>
  </si>
  <si>
    <t>K1-K8</t>
  </si>
  <si>
    <t>KÖLTSÉGVETÉSI KIADÁSOK ÖSSZESEN:</t>
  </si>
  <si>
    <t>BUDAPEST FŐVÁROS XX. KERÜLET PESTERZSÉBETI POLGÁRMESTERI HIVATAL</t>
  </si>
  <si>
    <t xml:space="preserve"> POLGÁRMESTERI HIVATAL KIADÁSAI ÖSSZESEN:</t>
  </si>
  <si>
    <t>Dunaág-Invest-Pesterzsébet Önk.-Raiffeisen Bank Zrt. megállapodása  (VA-42809/5/2010)</t>
  </si>
  <si>
    <t>* Az  európai uniós pályázatok fenntartási és nyomon követési ideje 5 év a záró projekt-előrehaladási jelentés elfogadásától.</t>
  </si>
  <si>
    <t>Elnyert pályázatok megvalósításával és követhetőségéből fennálló kötelezettségek*</t>
  </si>
  <si>
    <t>FELHALMOZÁSI CÉLÚ TÁMOGATÁSOK ÁH-N BELÜLRŐL</t>
  </si>
  <si>
    <t>B5</t>
  </si>
  <si>
    <t>B7</t>
  </si>
  <si>
    <t xml:space="preserve">KÖZHATALMI BEVÉTELEK </t>
  </si>
  <si>
    <t xml:space="preserve">MŰKÖDÉSI BEVÉTELEK </t>
  </si>
  <si>
    <t>MŰKÖDÉSI KÖLTSÉGVETÉSI BEVÉTELEK ÖSSZESEN:</t>
  </si>
  <si>
    <t>MŰKÖDÉSI BEVÉTELEK ÖSSZESEN:</t>
  </si>
  <si>
    <t>Felhalmozási célú kamatbevételek Áh-n kívülről</t>
  </si>
  <si>
    <t>MŰKÖDÉSI CÉLÚ FINANSZÍROZÁSI BEVÉTELEK</t>
  </si>
  <si>
    <t>FELHALMOZÁSI CÉLÚ FINANSZÍROZÁSI BEVÉTELEK</t>
  </si>
  <si>
    <t>FELHALMOZÁSI  KÖLTSÉGVETÉSI BEVÉTELEK ÖSSZESEN:</t>
  </si>
  <si>
    <t>FELHALMOZÁSI BEVÉTELEK ÖSSZESEN:</t>
  </si>
  <si>
    <t>FELHALMOZÁSI BEVÉTELEK</t>
  </si>
  <si>
    <t xml:space="preserve">Működési költségvetési kiadások összesen: </t>
  </si>
  <si>
    <t>Felhalmozási költségvetési kiadások összesen:</t>
  </si>
  <si>
    <t>Működési célú finanszírozási kiadások összesen:</t>
  </si>
  <si>
    <t>Felhalmozási célú finanszírozási kiadások összesen:</t>
  </si>
  <si>
    <t>Működési kiadások mindösszesen:</t>
  </si>
  <si>
    <t>Felhalmozási kiadások mindösszesen:</t>
  </si>
  <si>
    <t>KIADÁSOK MINDÖSSZESEN:</t>
  </si>
  <si>
    <t>mínusz: - Felhalmozási célú tartalék</t>
  </si>
  <si>
    <t>MŰKÖDÉSI KÖLTSÉGVETÉSI KIADÁSOK ÖSSZESEN:</t>
  </si>
  <si>
    <t>MŰKÖDÉSI CÉLÚ FINANSZÍROZÁSI KIADÁSOK</t>
  </si>
  <si>
    <t>MŰKÖDÉSI KIADÁSOK ÖSSZESEN:</t>
  </si>
  <si>
    <t>FELHALMOZÁSI  KÖLTSÉGVETÉSI KIADÁSOK ÖSSZESEN:</t>
  </si>
  <si>
    <t>FELHALMOZÁSI CÉLÚ FINANSZÍROZÁSI KIADÁSOK</t>
  </si>
  <si>
    <t>FELHALMOZÁSI KIADÁSOK ÖSSZESEN:</t>
  </si>
  <si>
    <t>K89</t>
  </si>
  <si>
    <t>Működési célú támogatások az Európai Uniónak</t>
  </si>
  <si>
    <t>1. Asociatia Culturala Fundatia "Petőfi Sándor"</t>
  </si>
  <si>
    <t>2. Bölöni Farkas Sándor Alapítvány</t>
  </si>
  <si>
    <t>Felhalmozási célú támogatások Európai Uniónak</t>
  </si>
  <si>
    <t>KÖZHATALMI BEVÉTELEK</t>
  </si>
  <si>
    <t>Polgármesteri Hivatal bevételei összesen:</t>
  </si>
  <si>
    <t>III.5.</t>
  </si>
  <si>
    <t>Gyermekétkeztetés támogatása</t>
  </si>
  <si>
    <t>III.5.a)</t>
  </si>
  <si>
    <t>KÖZPONTI TÁMOGATÁSOK ÖSSZESEN:</t>
  </si>
  <si>
    <t>B11</t>
  </si>
  <si>
    <t xml:space="preserve">Önkormányzatok működési támogatásai </t>
  </si>
  <si>
    <t>B1</t>
  </si>
  <si>
    <t>MŰKÖDÉSI CÉLÚ TÁMOGATÁSOK ÁH-N BELÜLRŐL</t>
  </si>
  <si>
    <t>B2</t>
  </si>
  <si>
    <t>B34</t>
  </si>
  <si>
    <t>Gépjárműadó</t>
  </si>
  <si>
    <t>B35</t>
  </si>
  <si>
    <t>B36</t>
  </si>
  <si>
    <t>Egyéb közhatalmi bevételek</t>
  </si>
  <si>
    <t>B3</t>
  </si>
  <si>
    <t>B402</t>
  </si>
  <si>
    <t>B403</t>
  </si>
  <si>
    <t>Közvetített szolgáltatások értéke</t>
  </si>
  <si>
    <t>B406</t>
  </si>
  <si>
    <t>Kiszámlázott általános forgalmi adó</t>
  </si>
  <si>
    <t>B408</t>
  </si>
  <si>
    <t>Kamatbevételek</t>
  </si>
  <si>
    <t>Iparűzési adó</t>
  </si>
  <si>
    <t>2020.</t>
  </si>
  <si>
    <t xml:space="preserve">Új Széchenyi Terv "Pesterzsébet Önkormányzat épületének energetikai korszerűsítése" KMOP-3.3.3-13-2013-0011 pályázati támogatás </t>
  </si>
  <si>
    <t xml:space="preserve">      Likviditási célú hitel (folyószámlahitel) </t>
  </si>
  <si>
    <t>Fejlesztési cél</t>
  </si>
  <si>
    <t>Fejlesztés várható kiadása</t>
  </si>
  <si>
    <t>1.</t>
  </si>
  <si>
    <t>Előző előir. + mód. - aktuális előir.=0</t>
  </si>
  <si>
    <t xml:space="preserve">      3.2.   Normatív állami hozzájárulás
                 feladatmutató szerint</t>
  </si>
  <si>
    <t>I.1.d)</t>
  </si>
  <si>
    <t>III.5.b)</t>
  </si>
  <si>
    <t>Egyéb felhalmozási célú támogatások bevételei Áh-n belülről összesen (1+2):</t>
  </si>
  <si>
    <t>K61</t>
  </si>
  <si>
    <t>Immateriális javak beszerzése, létesítése</t>
  </si>
  <si>
    <t>K62</t>
  </si>
  <si>
    <t>Ingatlanok beszerése, létesítése</t>
  </si>
  <si>
    <t xml:space="preserve">       4.1.8.  2002.évi országgyűlési  választások költségei</t>
  </si>
  <si>
    <t xml:space="preserve">      - KLIK Budapest XX. Tankerülete</t>
  </si>
  <si>
    <t xml:space="preserve">      - KLIK-DOBOS C VSZKI</t>
  </si>
  <si>
    <t xml:space="preserve">      - Országos Onkológiai Intézet</t>
  </si>
  <si>
    <t xml:space="preserve">      - Gimnáziumok Gazdasági Szervezete</t>
  </si>
  <si>
    <t xml:space="preserve">      - Humán Szolgáltatások Intézménye</t>
  </si>
  <si>
    <t xml:space="preserve">      - Pesterzsébet Önkormányzata GAMESZ</t>
  </si>
  <si>
    <t xml:space="preserve">   - Olajág Otthonok</t>
  </si>
  <si>
    <t xml:space="preserve">    - PTK Közép-európai Szakközép- és Szakiskola</t>
  </si>
  <si>
    <t xml:space="preserve">     - ERSTE Bank Hungary Zrt.</t>
  </si>
  <si>
    <t xml:space="preserve">     - Budapesti Közlekedési Központ Zrt.</t>
  </si>
  <si>
    <t xml:space="preserve">     - Groupama Garancia Biztosító Zrt.</t>
  </si>
  <si>
    <t xml:space="preserve">     - Work Way Club Kft.</t>
  </si>
  <si>
    <t xml:space="preserve">     - Eredeti Ziegler Ostya Gyártó Kft.</t>
  </si>
  <si>
    <t xml:space="preserve">     - Nagy Lovas Kft.</t>
  </si>
  <si>
    <t xml:space="preserve">     - Budapesti Közlekedési Vállalat Zrt.</t>
  </si>
  <si>
    <t xml:space="preserve">     - Avis Budapest Group BSC Kft.</t>
  </si>
  <si>
    <t xml:space="preserve">     - Betű-Tár Kft.</t>
  </si>
  <si>
    <t>K502</t>
  </si>
  <si>
    <t xml:space="preserve">Elvonások és befizetések </t>
  </si>
  <si>
    <t>Működési célú támogatások az Európai Uniónak (2.4. tábla)</t>
  </si>
  <si>
    <t>Egyéb felhalmozási célú támogatások ÁH-n kívülre (2.4. tábla)</t>
  </si>
  <si>
    <t>ebből mínusz: - Felhalmozási célú tartalék</t>
  </si>
  <si>
    <t>Felhalmozási célú kamatkiadás</t>
  </si>
  <si>
    <t>1. Működési célú maradvány igénybevétele</t>
  </si>
  <si>
    <t>2. Felhalmozási célú maradvány igénybevétele</t>
  </si>
  <si>
    <t xml:space="preserve">       4.1.9. Fővárosi Szolidaritási Alapból pályázati támogatás</t>
  </si>
  <si>
    <t>Kitüntetések, díjak</t>
  </si>
  <si>
    <t>Temetési segély (közalkalmazottaknak)</t>
  </si>
  <si>
    <t xml:space="preserve">           Felhalmozási pénzeszköz átadás</t>
  </si>
  <si>
    <t xml:space="preserve"> 1.1</t>
  </si>
  <si>
    <t>1.1.KTV-I mérleg'!A1</t>
  </si>
  <si>
    <t xml:space="preserve"> 1.2</t>
  </si>
  <si>
    <t xml:space="preserve"> 1.3</t>
  </si>
  <si>
    <t>1.2.Többéves kihat'!A1</t>
  </si>
  <si>
    <t xml:space="preserve"> 1.4</t>
  </si>
  <si>
    <t xml:space="preserve"> 1.5</t>
  </si>
  <si>
    <t>2. Önkormányzat</t>
  </si>
  <si>
    <t>1. Önkormányzat összesen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</si>
  <si>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</si>
  <si>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</si>
  <si>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</si>
  <si>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</si>
  <si>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</si>
  <si>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</si>
  <si>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</si>
  <si>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</si>
  <si>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</si>
  <si>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2.12</t>
  </si>
  <si>
    <t>2.1.Bevétel'!A1</t>
  </si>
  <si>
    <t>2.3.Kiad.'!A1</t>
  </si>
  <si>
    <t xml:space="preserve"> (KÉREM, HOGY A LÁTNI KÍVÁNT MUNKALAPNÁL LÉVŐ HIVATKOZÁSRA KATTINTSON!)</t>
  </si>
  <si>
    <t>Rászorultságtól függő pénzbeni szoc., gyermekvéd. ell. mindösszesen</t>
  </si>
  <si>
    <t>Polgármesteri Hivatal által folyósított ellátások összesen</t>
  </si>
  <si>
    <t xml:space="preserve">           Kölcsönök nyújtása</t>
  </si>
  <si>
    <t>2.  Átengedett központi adók</t>
  </si>
  <si>
    <t xml:space="preserve">  2.1. Normatíván átengedett személyi jöv. adó</t>
  </si>
  <si>
    <t xml:space="preserve">     2.1  Felújitások</t>
  </si>
  <si>
    <t>Helyi adók</t>
  </si>
  <si>
    <t>Saját bevételek (01+….+07)</t>
  </si>
  <si>
    <t>Előző év(ek)ben keletkezett tárgyévi fizetési kötelezettség (11+….+17)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</si>
  <si>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</si>
  <si>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</si>
  <si>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</si>
  <si>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</si>
  <si>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</si>
  <si>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</si>
  <si>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 xml:space="preserve">Tárgyévben keletkezett, illetve keletkező, tárgyévet terhelő fizetési kötelezettség (19+….+25) </t>
  </si>
  <si>
    <t>Fizetési kötelezettség összesen (10+18):</t>
  </si>
  <si>
    <t>KÖLTSÉGVETÉSI BEVÉTELEK ÖSSZESEN:</t>
  </si>
  <si>
    <t>Kötelező feladat</t>
  </si>
  <si>
    <t>2003. évi javaslat</t>
  </si>
  <si>
    <t xml:space="preserve">       4.1.18.Gyermekétkeztetésben részesülők kieg. tám-a.</t>
  </si>
  <si>
    <t xml:space="preserve">     3.15.Közalk.illetményemelésével összefüggő támogatás</t>
  </si>
  <si>
    <t>Ellátottak pénzbeli juttatásai</t>
  </si>
  <si>
    <t xml:space="preserve">      3.3.   Központosított támogatás kisebbségi önk.-nak</t>
  </si>
  <si>
    <t xml:space="preserve">      3.4.   Kiegészítő támog. egyes közoktatási feladatokra</t>
  </si>
  <si>
    <t xml:space="preserve">      3.13.Hozzájár.a könyvizs. köt. önkormányzatoknak</t>
  </si>
  <si>
    <t>2002. évi
előirányzat</t>
  </si>
  <si>
    <t>Kerületi védelmi feladatok</t>
  </si>
  <si>
    <t xml:space="preserve">Környezetvédelmi alap </t>
  </si>
  <si>
    <t>Talajterhelési díj</t>
  </si>
  <si>
    <t>1. Intézményi működési bevételek</t>
  </si>
  <si>
    <t xml:space="preserve">    1.1. Intézmények saját bevételei  és átvett pe.összesen</t>
  </si>
  <si>
    <t xml:space="preserve">    1.2. Polgármesteri Hivatal bevételei</t>
  </si>
  <si>
    <t xml:space="preserve">           1.2.1. Hatósági, engedélyezési, feladatok
                      díjbevétele</t>
  </si>
  <si>
    <t xml:space="preserve">           1.2.2. Kamatbevételek</t>
  </si>
  <si>
    <t>Intézmények működési tartaléka</t>
  </si>
  <si>
    <t>Egészségügyi Intézmény</t>
  </si>
  <si>
    <t xml:space="preserve">                       - Német Kisebbségi Önkormányzat</t>
  </si>
  <si>
    <t>4. Pénzeszköz átvétel államháztartáson belül</t>
  </si>
  <si>
    <t>4.1. Működési célra átvett pénzeszközök</t>
  </si>
  <si>
    <t xml:space="preserve">       4.1.1.   Más önkormányzat költségvetési szervétől</t>
  </si>
  <si>
    <t xml:space="preserve">  (XIII.) Gyermekkert Óvoda</t>
  </si>
  <si>
    <t xml:space="preserve">  (XIV.) Bóbita Óvoda</t>
  </si>
  <si>
    <t>Hajós Alfréd Általános Iskola</t>
  </si>
  <si>
    <t>Központi Műhely</t>
  </si>
  <si>
    <t>Nevelési Tanácsadó</t>
  </si>
  <si>
    <t>Összesen</t>
  </si>
  <si>
    <t xml:space="preserve">        4.2.2.  Központi céltám. Székelyhíd u. csatorna építésére</t>
  </si>
  <si>
    <t>Kiadási jogcímek</t>
  </si>
  <si>
    <t xml:space="preserve">             2.2.2.Jövedelemkülönbség mérséklésére
                       (földutak szilárd burkolattal való ellátása)</t>
  </si>
  <si>
    <t xml:space="preserve">             2.2.3. Gépjárműadó</t>
  </si>
  <si>
    <t>Intézmények</t>
  </si>
  <si>
    <t>Polgármesteri Hivatal</t>
  </si>
  <si>
    <t>Intézményeket érintő módosítások 2006-ban, intézmények összesen</t>
  </si>
  <si>
    <t>Nyári napközis tábor</t>
  </si>
  <si>
    <t>2.Felhalmozási kiadások(áfá-val)</t>
  </si>
  <si>
    <t xml:space="preserve">     2.2  Beruházások</t>
  </si>
  <si>
    <t>3.Kötelezettségek</t>
  </si>
  <si>
    <t xml:space="preserve">       4.1.10.Pedagógiai Szakszolgálatokra kapott támogatás</t>
  </si>
  <si>
    <t xml:space="preserve">       4.1.11.Díszdiplomára átvett pe.-ELTE</t>
  </si>
  <si>
    <t xml:space="preserve">       4.1.12. 2000.évi csat.céltám.kerületet megillető rész</t>
  </si>
  <si>
    <t>Egyéb nyújtott kedvezmény vagy kölcsön elengedésének</t>
  </si>
  <si>
    <t>összege</t>
  </si>
  <si>
    <t>Sorszám</t>
  </si>
  <si>
    <t>Jogcím megnevezése</t>
  </si>
  <si>
    <t>Engedmény összege</t>
  </si>
  <si>
    <t>Mindösszesen:</t>
  </si>
  <si>
    <t xml:space="preserve"> - telekadó</t>
  </si>
  <si>
    <t xml:space="preserve"> - építményadó</t>
  </si>
  <si>
    <t xml:space="preserve"> - gépjárműadó</t>
  </si>
  <si>
    <t>Önkormányzati bevételek összesen</t>
  </si>
  <si>
    <t>Önkormányzati kiadások összesen</t>
  </si>
  <si>
    <t xml:space="preserve">        4.2.7.Főv. Egészségfejlesztési Alapból támogatás</t>
  </si>
  <si>
    <t xml:space="preserve">       4.1.13.Főv. Egészségfejlesztési Alapból támogatás</t>
  </si>
  <si>
    <t>Beruházások és felújítások tervezése</t>
  </si>
  <si>
    <t xml:space="preserve">Megnevezés </t>
  </si>
  <si>
    <t xml:space="preserve">Lakosság részére lakásépítéshez, lakásfelújításhoz </t>
  </si>
  <si>
    <t xml:space="preserve">3. </t>
  </si>
  <si>
    <t>Helyi adónál, gépjárműadónál biztosított kedvezmény</t>
  </si>
  <si>
    <t>mentesség összege</t>
  </si>
  <si>
    <t xml:space="preserve">     5.1.1. Fővárosi Közoktatásfejl. Közalapítvány támogatása</t>
  </si>
  <si>
    <t xml:space="preserve">      3.14.Helyi önkormányzatoknál foglalkoztatott köztisztviselők előmeneteli és ill.rendsz.2001.07.01-i emelése miatti támogatás</t>
  </si>
  <si>
    <t xml:space="preserve">             2.1.2. Telekadó</t>
  </si>
  <si>
    <t>4aa</t>
  </si>
  <si>
    <t xml:space="preserve">             2.1.3. Iparűzési adó</t>
  </si>
  <si>
    <t xml:space="preserve">      2.2. Átengedett központi adók</t>
  </si>
  <si>
    <t>1.mell.-2.mell.</t>
  </si>
  <si>
    <t xml:space="preserve">I. </t>
  </si>
  <si>
    <t>I.1.a)</t>
  </si>
  <si>
    <t>Önkormányzati hivatal működésének támogatása</t>
  </si>
  <si>
    <t>I.1.b)</t>
  </si>
  <si>
    <t>Település-üzemeltetéshez kapcsolódó feladatellátás támogatása összesen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</si>
  <si>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</si>
  <si>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</si>
  <si>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</si>
  <si>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2021.</t>
  </si>
  <si>
    <t>*A bankkal történő egyeztetések folyamatban vannak.</t>
  </si>
  <si>
    <t>FINANSZÍROZÁSI BEVÉTELEK ÖSSZESEN:</t>
  </si>
  <si>
    <t>FINANSZÍROZÁSI KIADÁSOK ÖSSZESEN:</t>
  </si>
  <si>
    <t>2.2. Kp-i tám'!A1</t>
  </si>
  <si>
    <t>2.10. Előir.felh.'!A1</t>
  </si>
  <si>
    <t>2.11. Közv. tám'!A1</t>
  </si>
  <si>
    <t>3.8. Előir.felh. POHI'!A1</t>
  </si>
  <si>
    <t>4.24. Közv. tám'!A1</t>
  </si>
  <si>
    <t>TÁMOP-3.2.3/09/2/KMR-2010-0007 "Építő közösségek" (Csili MK) /befejezve: 2012. 5 éves követés/</t>
  </si>
  <si>
    <t>Új Széchenyi Terv "Pesterzsébeti Nyitnikék Óvoda fejlesztése" KMOP-4.6.1-11-2012-0018 pályázati támogatás /befejezve: 2014. követés 5 év/</t>
  </si>
  <si>
    <t>Közutak fenntartásának támogatása</t>
  </si>
  <si>
    <t>I.1.c)</t>
  </si>
  <si>
    <t>II.</t>
  </si>
  <si>
    <t>A TELEPÜLÉSI ÖNKORMÁNYZATOK EGYES KÖZNEVELÉSI ÉS GYERMEKÉTKEZTETÉSI FELADATAINAK TÁMOGATÁSA</t>
  </si>
  <si>
    <t>II.1.</t>
  </si>
  <si>
    <t>Óvodapedagógusok, és az óvodapedagógusok nevelő munkáját közvetlenül segítők bértámogatása</t>
  </si>
  <si>
    <t>Intézményvezetők jutalmazása</t>
  </si>
  <si>
    <t>POLGÁRMESTERI HIVATAL</t>
  </si>
  <si>
    <t>II.2.</t>
  </si>
  <si>
    <t>Óvodaműködtetési támogatás</t>
  </si>
  <si>
    <t xml:space="preserve">Összesen: </t>
  </si>
  <si>
    <t>Költségvetési hiány</t>
  </si>
  <si>
    <t>Költségvetési többlet</t>
  </si>
  <si>
    <t>Működési többlet</t>
  </si>
  <si>
    <t>Felhalmozási többlet</t>
  </si>
  <si>
    <t xml:space="preserve">      3.5. Egyes szociális feladatok kiegészítő támogatása</t>
  </si>
  <si>
    <t>Önkormányzat által folyósított ellátások összesen</t>
  </si>
  <si>
    <t>Lajtha László Alapfokú Művészetoktatási Intézmény</t>
  </si>
  <si>
    <t>3.  Helyi adók</t>
  </si>
  <si>
    <t>4.  Saját bevételek</t>
  </si>
  <si>
    <t xml:space="preserve">  4.1. Intézményi bevételek</t>
  </si>
  <si>
    <t>Pesterzsébeti Múzeum</t>
  </si>
  <si>
    <t>ONIGESZ  mint intézmény</t>
  </si>
  <si>
    <t>Stromfeld Aurél Általános Iskola</t>
  </si>
  <si>
    <t>Lázár Vilmos Általános Iskola</t>
  </si>
  <si>
    <t>Ady Endre Általános Iskola</t>
  </si>
  <si>
    <t>József Attila Általános Iskola</t>
  </si>
  <si>
    <t>Baross Gábor Általános Iskola és Szakiskola</t>
  </si>
  <si>
    <t xml:space="preserve">     2.1. Helyi adók</t>
  </si>
  <si>
    <t>Polgármesteri Hivatalnak nyújtott támogatás miatti korrekció</t>
  </si>
  <si>
    <t>Intézményeknek nyújtott támogatás miatti korrekció</t>
  </si>
  <si>
    <t xml:space="preserve">    1.2  Munkaadókat terhelő járulékok</t>
  </si>
  <si>
    <t xml:space="preserve">    1.3  Dologi kiadások</t>
  </si>
  <si>
    <t xml:space="preserve">         6.2. Felhalmozási célra átvett pénzeszközök
                 egyéb szervezettől (társasházak)</t>
  </si>
  <si>
    <t>7. Felhalmozási és tőke jellegű bevételek</t>
  </si>
  <si>
    <t xml:space="preserve">     5.1.3. Mo-i Nemzetiés Etnikai Kis.Közalapítvány tám.-Német Kisebbségi Önkormányzat</t>
  </si>
  <si>
    <t>5.2. Felhalmozási célra átvett pénzeszközök</t>
  </si>
  <si>
    <t>BEVÉTELEK ÖSSZESEN</t>
  </si>
  <si>
    <t>11.Működési hitel</t>
  </si>
  <si>
    <t>12.Fejlesztési hitel</t>
  </si>
  <si>
    <t>KIADÁSOK ÖSSZESEN:</t>
  </si>
  <si>
    <t xml:space="preserve">  (III.) Gézengúz Óvoda</t>
  </si>
  <si>
    <t xml:space="preserve">  (IV.) Lurkóház Óvoda</t>
  </si>
  <si>
    <t xml:space="preserve">  (VII.) Nyitnikék Óvoda</t>
  </si>
  <si>
    <t xml:space="preserve">  (IX.) Gyöngyszem Óvoda</t>
  </si>
  <si>
    <t xml:space="preserve">     3.1 Hiteltörlesztés</t>
  </si>
  <si>
    <t>4.Céltartalékok</t>
  </si>
  <si>
    <t>5.Általános  tartalék</t>
  </si>
  <si>
    <t xml:space="preserve">           Működési pénzeszköz átadás </t>
  </si>
  <si>
    <t xml:space="preserve">      3.10.  Gyermek és Ifjúsági Önkormányzat működ. tám.</t>
  </si>
  <si>
    <t>BEVÉTELEK</t>
  </si>
  <si>
    <t>2002. évi</t>
  </si>
  <si>
    <t>KIADÁSOK</t>
  </si>
  <si>
    <t>2002.évi</t>
  </si>
  <si>
    <t>1.  Központi költségvetési támogatás</t>
  </si>
  <si>
    <t xml:space="preserve">  1.1. Normatív állami hozzájárulás állandó</t>
  </si>
  <si>
    <t xml:space="preserve">         népességszámhoz kötötten</t>
  </si>
  <si>
    <t>4a</t>
  </si>
  <si>
    <t>3a</t>
  </si>
  <si>
    <t>4c</t>
  </si>
  <si>
    <t>Gondozási Központ összesen</t>
  </si>
  <si>
    <t>Szociális Foglalkoztató</t>
  </si>
  <si>
    <t>Polgármesteri céltartalék</t>
  </si>
  <si>
    <t xml:space="preserve">      3.9.   Lakossági közműfejlesztési támogatás</t>
  </si>
  <si>
    <t xml:space="preserve">  (X.) Gyermekmosoly Óvoda</t>
  </si>
  <si>
    <t xml:space="preserve">  (XII.) Kerekerdő Óvoda</t>
  </si>
  <si>
    <t xml:space="preserve">           ebből: OEP-től átvett pe. (Egészségügyi Intézmény)</t>
  </si>
  <si>
    <t>5.</t>
  </si>
  <si>
    <t xml:space="preserve">        7.3. Privatizációból származó  bevétel</t>
  </si>
  <si>
    <t xml:space="preserve">        7.4. Lakossági közmű hozzájárulás</t>
  </si>
  <si>
    <t xml:space="preserve">        7.5. Önkormányzati gépjárművek elidegenítése</t>
  </si>
  <si>
    <t>Értékpapírok értékesítésének bevétele</t>
  </si>
  <si>
    <t>Hitelek felvétele és kötvénykibocsátás bevételei</t>
  </si>
  <si>
    <t xml:space="preserve">Finanszírozási bevételek összesen: </t>
  </si>
  <si>
    <t>ÖNKORMÁNYZAT KIADÁS ÖSSZESÍTŐ</t>
  </si>
  <si>
    <t>ÖNKORMÁNYZAT BEVÉTELI ÖSSZESÍTŐ</t>
  </si>
  <si>
    <t>INTÉZMÉNYEK</t>
  </si>
  <si>
    <t xml:space="preserve">         ebből: Orsz. Egézségbizt. Pénztár</t>
  </si>
  <si>
    <t xml:space="preserve">  4.2. Polgármesteri Hivatal  bevételei és</t>
  </si>
  <si>
    <t xml:space="preserve">         egyéb sajátos működési bevételek</t>
  </si>
  <si>
    <t xml:space="preserve">   Ebből felhalmozási céltartalék</t>
  </si>
  <si>
    <t>5.  Felhalmozási és tőkejellegű bevétel</t>
  </si>
  <si>
    <t>6.  Működési célú pénzeszköz átvétel</t>
  </si>
  <si>
    <t>7.  Felhalmozási célú pénzeszköz átvét.</t>
  </si>
  <si>
    <t>8.  Kölcsönök visszatérülése</t>
  </si>
  <si>
    <t>9.  Kiszámlázott és visszaigényelt ÁFA</t>
  </si>
  <si>
    <t>10.Pénzforgalom nélküli bevételek</t>
  </si>
  <si>
    <t>2009. évi eredeti előirányzat</t>
  </si>
  <si>
    <t xml:space="preserve">Dologi kiadások </t>
  </si>
  <si>
    <t>Működési bevételek</t>
  </si>
  <si>
    <t>Működési célú támogatás ÁH-n belülről</t>
  </si>
  <si>
    <t>Működési célú átvett pénzeszköz ÁH-n kívülről</t>
  </si>
  <si>
    <t>B52</t>
  </si>
  <si>
    <t>Ingatlanok értékesítése</t>
  </si>
  <si>
    <t>B4</t>
  </si>
  <si>
    <t>B25</t>
  </si>
  <si>
    <t>B6</t>
  </si>
  <si>
    <t>Felhalmozási célú visszatérítendő támogatások, kölcsönök visszatérülése Áh-n kívülről</t>
  </si>
  <si>
    <t xml:space="preserve">B7 </t>
  </si>
  <si>
    <t>FELHALMOZÁSI CÉLÚ ÁTVETT PÉNZESZKÖZÖK</t>
  </si>
  <si>
    <t>MŰKÖDÉSI CÉLÚ ÁTVETT PÉNZESZKÖZ</t>
  </si>
  <si>
    <t>B1-B7</t>
  </si>
  <si>
    <t>B8</t>
  </si>
  <si>
    <t>FINANSZÍROZÁSI BEVÉTELEK</t>
  </si>
  <si>
    <t>B8131</t>
  </si>
  <si>
    <t>Előző év költségvetési maradványának igénybevétele</t>
  </si>
  <si>
    <t xml:space="preserve">B813 </t>
  </si>
  <si>
    <t>Maradvány igénybevétele</t>
  </si>
  <si>
    <t>B81</t>
  </si>
  <si>
    <t>Belföldi finanszírozás bevételei</t>
  </si>
  <si>
    <t>Önkormányzat bevételei összesen:</t>
  </si>
  <si>
    <t xml:space="preserve">B5 </t>
  </si>
  <si>
    <t>B16</t>
  </si>
  <si>
    <t>Egyéb működési célú támogatások bevételei Áh-n belülről</t>
  </si>
  <si>
    <t>Ellátottak térítésidíjának, kártérítésének</t>
  </si>
  <si>
    <t>1.Összesítő'!A1</t>
  </si>
  <si>
    <t>Hivatkozás</t>
  </si>
  <si>
    <t>Melléklet száma</t>
  </si>
  <si>
    <t>TARTALOMJEGYZÉK</t>
  </si>
  <si>
    <t xml:space="preserve">  2. Felhalmozási célú hitel felvétele és kötvénykibocsátás felhalm. célra</t>
  </si>
  <si>
    <t>Pesterzsébet Önkormányzata által folyósított, pénzben és természetben nyújtott szociális ellátások</t>
  </si>
  <si>
    <t>Pesterzsébet Önkormányzat adósságot keletkeztető ügyleteiből eredő fizetési kötelezettségeinek bemutatása</t>
  </si>
  <si>
    <t>2. Működési célú felügyeleti szervi támogatás</t>
  </si>
  <si>
    <t xml:space="preserve">1. Hosszú lejáratú kölcsönök törlesztése </t>
  </si>
  <si>
    <r>
      <t xml:space="preserve">PESTERZSÉBET ÖNKORMÁNYZATÁNAK HUMÁN SZOLGÁLTATÁSOK INTÉZMÉNYE (HSZI) </t>
    </r>
  </si>
  <si>
    <t>CSILI MŰVELŐDÉSI KÖZPONT</t>
  </si>
  <si>
    <t>PESTERZSÉBETI MÚZEUM</t>
  </si>
  <si>
    <t>GAMESZ</t>
  </si>
  <si>
    <t>INTÉZMÉNYEK BEVÉTELEI ÖSSZESEN:</t>
  </si>
  <si>
    <t>INTÉZMÉNYEK KIADÁSAI ÖSSZESEN:</t>
  </si>
  <si>
    <t>Közhatalmi bevételek</t>
  </si>
  <si>
    <t>mínusz:  - Felhalmozási célú kamatbevételek Áh-n kívülről (2014-től)</t>
  </si>
  <si>
    <t>Felhalmozási célú kamatbevételek Áh-n kívülről (2014-től)</t>
  </si>
  <si>
    <t>Felhalmozási célú tartalék (2014-től)</t>
  </si>
  <si>
    <t>PESTERZSÉBETI GÉZENGÚZ ÓVODA</t>
  </si>
  <si>
    <t>PESTERZSÉBETI LURKÓHÁZ ÓVODA</t>
  </si>
  <si>
    <t xml:space="preserve">PESTERZSÉBETI NYITNIKÉK ÓVODA </t>
  </si>
  <si>
    <t>PESTERZSÉBETI GYERMEKMOSOLY ÓVODA</t>
  </si>
  <si>
    <t xml:space="preserve">PESTERZSÉBETI KEREKERDŐ ÓVODA </t>
  </si>
  <si>
    <t xml:space="preserve">FELHALMOZÁSI CÉLÚ TÁMOGATÁSOK ÁH-N BELÜLRŐL </t>
  </si>
  <si>
    <t>PESTERZSÉBETÁNAK ÖNKORMÁNYZAT SZOCIÁLIS FOGLALKOZTATÓJA</t>
  </si>
  <si>
    <t>különbség:</t>
  </si>
  <si>
    <t>füzetből:</t>
  </si>
  <si>
    <t>táblákból:</t>
  </si>
  <si>
    <t>Összesen (táblákból)</t>
  </si>
  <si>
    <t>4.</t>
  </si>
  <si>
    <t>Bevételi jogcímek</t>
  </si>
  <si>
    <t>Önkormányzat</t>
  </si>
  <si>
    <t>Rovat</t>
  </si>
  <si>
    <t xml:space="preserve">Bevételek és kiadások Áht. 102. § (3) bekezdése szerinti mérlege </t>
  </si>
  <si>
    <t>Az Önkormányzat saját bevételeinek részletezése az adósságot keletkeztető ügyletből származó tárgyévi fizetési kötelezettség megállapításához</t>
  </si>
  <si>
    <t>Az Önkormányzat adósságot keletkeztető ügyleteiből és kezességvállalásaiból fennálló kötelezettségei az adósságot keletkeztető ügyletek futamidejének végéig</t>
  </si>
  <si>
    <t>3. Polgármesteri Hivatal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</si>
  <si>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</si>
  <si>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</si>
  <si>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</si>
  <si>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</si>
  <si>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</si>
  <si>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</si>
  <si>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>K63</t>
  </si>
  <si>
    <t>Informatikai eszközök beszerzése, létesítése</t>
  </si>
  <si>
    <t>K64</t>
  </si>
  <si>
    <t>Egyéb tárgyi eszközök beszerzése, létesítése</t>
  </si>
  <si>
    <t>Egyéb</t>
  </si>
  <si>
    <t>K64002</t>
  </si>
  <si>
    <t>Járművek</t>
  </si>
  <si>
    <t>K65</t>
  </si>
  <si>
    <t>Részesedések beszerzése</t>
  </si>
  <si>
    <t>K66</t>
  </si>
  <si>
    <t>K67</t>
  </si>
  <si>
    <t>Beruházási célú előzetesen felszámított ÁFA</t>
  </si>
  <si>
    <t>Meglévő részesedések növeléséhez kapcsolódó kiadások</t>
  </si>
  <si>
    <t>BERUHÁZÁSOK ÖSSZESEN:</t>
  </si>
  <si>
    <t>K6</t>
  </si>
  <si>
    <t xml:space="preserve">Működési költségvetési bevételek összesen: </t>
  </si>
  <si>
    <t>Felhalmozási költségvetési bevételek összesen:</t>
  </si>
  <si>
    <t>Működési célú finanszírozási bevétel összesen:</t>
  </si>
  <si>
    <t>Felhalmozási célú finanszírozási bevétel összesen:</t>
  </si>
  <si>
    <t>Működési bevételek mindösszesen:</t>
  </si>
  <si>
    <t>Felhalmozási bevételek mindösszesen:</t>
  </si>
  <si>
    <t>BEVÉTELEK MINDÖSSZESEN:</t>
  </si>
  <si>
    <t xml:space="preserve">    - számítógépek és nagy értékű számítástech. eszk.</t>
  </si>
  <si>
    <t xml:space="preserve">     - gépek, berendezések, felszerelések </t>
  </si>
  <si>
    <t>K71</t>
  </si>
  <si>
    <t>Ingatlanok felújítása</t>
  </si>
  <si>
    <t>K72</t>
  </si>
  <si>
    <t>Informatikai eszközök felújítása</t>
  </si>
  <si>
    <t>K73</t>
  </si>
  <si>
    <t>Egyéb tárgyi eszközök felújítása</t>
  </si>
  <si>
    <t>K74</t>
  </si>
  <si>
    <t>Felújítási célú előzetesen felszámított ÁFA</t>
  </si>
  <si>
    <t xml:space="preserve">     - egyéb gépek berendezések</t>
  </si>
  <si>
    <t>FELÚJÍTÁSOK ÖSSZESEN:</t>
  </si>
  <si>
    <t xml:space="preserve">     - bútorok</t>
  </si>
  <si>
    <t>ROVAT</t>
  </si>
  <si>
    <t>K512</t>
  </si>
  <si>
    <t>TARTALÉKOK</t>
  </si>
  <si>
    <t>Központi támogatás visszafizetésére tartalék</t>
  </si>
  <si>
    <t>Közművelődési érdekeltségnövelő támogatás önrésze</t>
  </si>
  <si>
    <t>Madarak fák napi verseny (óvoda, iskola)</t>
  </si>
  <si>
    <t>BKISZ csatorna fejlesztési program</t>
  </si>
  <si>
    <t xml:space="preserve"> - irattári polcrendszer beszerzése</t>
  </si>
  <si>
    <t xml:space="preserve"> - egyéb kisértékű tárgyi eszközök beszerzése</t>
  </si>
  <si>
    <t xml:space="preserve"> - kisértékű bútorok beszerzése</t>
  </si>
  <si>
    <t xml:space="preserve">     1.2. Fővárosi Tűzoltóparancsnokság</t>
  </si>
  <si>
    <t xml:space="preserve">     1.3. Oktatási Minisztérium (Bursa)</t>
  </si>
  <si>
    <t xml:space="preserve">      1.1. Szolgálati lakások elidegenítése</t>
  </si>
  <si>
    <t>3. Fejezeti kezelésű előirányzatok EU-s programok és azok hazai társfinanszírozása</t>
  </si>
  <si>
    <t>Polgármesteri Hivatal által folyósított ellátások mindösszesen</t>
  </si>
  <si>
    <t xml:space="preserve"> - bútorok </t>
  </si>
  <si>
    <t>2. Helyi önkormányzatoknak és költségvetési szerveinek</t>
  </si>
  <si>
    <t>3. Pénzügyi vállalkozások</t>
  </si>
  <si>
    <t>4. Önkormányzati többségi tulajdonú nem pénzügyi vállalkozásoknak</t>
  </si>
  <si>
    <t>5. Egyéb vállalkozásoknak</t>
  </si>
  <si>
    <t xml:space="preserve"> - nyílászárók fóliázása (Mártírok u. 47.)</t>
  </si>
  <si>
    <t>Ingatlanok beszerzése, létesítése</t>
  </si>
  <si>
    <t>1.3. Mérleg'!A1</t>
  </si>
  <si>
    <t>1.4.EU-S'!A1</t>
  </si>
  <si>
    <t>1.5. Létszám'!A1</t>
  </si>
  <si>
    <t>2.6. segély'!A1</t>
  </si>
  <si>
    <t xml:space="preserve"> 2.13</t>
  </si>
  <si>
    <t>3.1.Bevétel POHI'!A1</t>
  </si>
  <si>
    <t>3.2.Kiad. POHI'!A1</t>
  </si>
  <si>
    <t>3.3.Céltart POHI'!A1</t>
  </si>
  <si>
    <t>3.4. Segély Pohi'!A1</t>
  </si>
  <si>
    <t xml:space="preserve"> 3.7</t>
  </si>
  <si>
    <t>3.5.Beruh POHI'!A1</t>
  </si>
  <si>
    <t>3.6.Felúj. POHI'!A1</t>
  </si>
  <si>
    <t>4. iNT ÖSSZESÍTŐ'!A1</t>
  </si>
  <si>
    <t>4.1.HSZI bev-kiad'!A1</t>
  </si>
  <si>
    <t>4.2. HSZI beruh'!A1</t>
  </si>
  <si>
    <t>4.3. SZOCIFOGI bev-kiad'!A1</t>
  </si>
  <si>
    <t>4.4. SZOCIFOGI beruh'!A1</t>
  </si>
  <si>
    <t>4.5. CSILI bev-kiad'!A1</t>
  </si>
  <si>
    <t>4.6. CSILI beruh'!A1</t>
  </si>
  <si>
    <t>4.7. MÚZ bev-kiad'!A1</t>
  </si>
  <si>
    <t>4.8. MÚZ beruh'!A1</t>
  </si>
  <si>
    <t>4.9. BAROSS bev-kiad'!A1</t>
  </si>
  <si>
    <t>4.10. BAROSS beruh'!A1</t>
  </si>
  <si>
    <t>4.11. GÉZ bev-kiad'!A1</t>
  </si>
  <si>
    <t>4.12. GÉZ beruh'!A1</t>
  </si>
  <si>
    <t>4.13. LUR bev-kiad'!A1</t>
  </si>
  <si>
    <t>4.14. LUR beruh'!A1</t>
  </si>
  <si>
    <t>4.15. NYIT bev-kiad'!A1</t>
  </si>
  <si>
    <t>4.16. NYIT beruh'!A1</t>
  </si>
  <si>
    <t>4.17. GYMOS bev-kiad'!A1</t>
  </si>
  <si>
    <t>4.18. GYMOS beruh'!A1</t>
  </si>
  <si>
    <t>4.19. KER bev-kiad'!A1</t>
  </si>
  <si>
    <t>4.20. KER beruh'!A1</t>
  </si>
  <si>
    <t>4.21. GAMESZ bev-kiad'!A1</t>
  </si>
  <si>
    <t>4.22. GAMESZ beruh'!A1</t>
  </si>
  <si>
    <t>4.23. Előir.felh. '!A1</t>
  </si>
  <si>
    <t xml:space="preserve">Önkormányzat </t>
  </si>
  <si>
    <t>Tartalékok  összesen</t>
  </si>
  <si>
    <t>Működési célú tartalék</t>
  </si>
  <si>
    <t>Felhalmozási célú tartalék</t>
  </si>
  <si>
    <t>Tartalékok mindösszesen:</t>
  </si>
  <si>
    <t>Beruházási célú tartalék</t>
  </si>
  <si>
    <t>Tartalékok összesen</t>
  </si>
  <si>
    <t>1. Központi költségvetési szervnek</t>
  </si>
  <si>
    <t>K513</t>
  </si>
  <si>
    <t>Autómentes nap</t>
  </si>
  <si>
    <t>Szilárd burkolatú utak számla egyenlege</t>
  </si>
  <si>
    <t>2. Központi kezelésű előirányzat</t>
  </si>
  <si>
    <t>4. Egyéb fejezeti kezelésű előirányzatoknak</t>
  </si>
  <si>
    <t>5 Társadalombiztosítás pénzügyi alapjainak</t>
  </si>
  <si>
    <t>6. Elkülönített állami pénzalapoknak</t>
  </si>
  <si>
    <t>7. Helyi önkormányzatoknak és költségvetési szerveinek</t>
  </si>
  <si>
    <t>8. Társulásoknak és költségvetési szerveinek</t>
  </si>
  <si>
    <t>9. Nemzetiségi önkormányzatoknak és költségvetési szerveinek</t>
  </si>
  <si>
    <t>10. Térségi fejlesztési tanácsoknak és költségvetési szerveinek</t>
  </si>
  <si>
    <t>K506</t>
  </si>
  <si>
    <t>K511</t>
  </si>
  <si>
    <t>Egyéb működési célú támogatások ÁH-n kívülre</t>
  </si>
  <si>
    <t>1. Egyházaknak</t>
  </si>
  <si>
    <t>2. Egyéb civil szervezetek</t>
  </si>
  <si>
    <t>FELOSZTANDÓ</t>
  </si>
  <si>
    <t>9. Kormányoknak és nemzetközi szervezeteknek</t>
  </si>
  <si>
    <t>10. Egyéb külföldinek</t>
  </si>
  <si>
    <t>K84</t>
  </si>
  <si>
    <t>Egyéb felhalmozási célú támogatások ÁH-n belülre</t>
  </si>
  <si>
    <t>K88</t>
  </si>
  <si>
    <t>Egyéb felhalmozási célú támogatások ÁH-n kívülre</t>
  </si>
  <si>
    <t>1. Egyházi jogi személyek</t>
  </si>
  <si>
    <t>Működési célú támogatások összesen:</t>
  </si>
  <si>
    <t>Felhalmozási célú támogatások összesen:</t>
  </si>
  <si>
    <t>Kiegészítő gyermekvédelmi támogatás és annak pótléka Gyvt. 20/B §   (K42)</t>
  </si>
  <si>
    <t>Természetbeni támogatás Gyvt. 20/A. §   (K42)</t>
  </si>
  <si>
    <t xml:space="preserve">FELHALMOZÁSI BEVÉTELEK </t>
  </si>
  <si>
    <t>MŰKÖDÉSI BEVÉTELEK</t>
  </si>
  <si>
    <t>B816</t>
  </si>
  <si>
    <t>Központi, irányító szervi támogatás</t>
  </si>
  <si>
    <t>1. Működési célú irányító szervi támogatás</t>
  </si>
  <si>
    <t>2. Felhalmozási célú irányító szervi támogatás</t>
  </si>
  <si>
    <t>2.4.Átad.Peszk.'!A1</t>
  </si>
  <si>
    <t>2.5.Céltart'!A1</t>
  </si>
  <si>
    <t>2.7.Beruh'!A1</t>
  </si>
  <si>
    <t>2.8.Felúj.'!A1</t>
  </si>
  <si>
    <t>2.9.ADÓSSÁG'!A1</t>
  </si>
  <si>
    <t>Munkaadókat terhelő járulékok és szociális hozzájárulási adó</t>
  </si>
  <si>
    <t>Személyi juttatás</t>
  </si>
  <si>
    <t>8. Befolyt általános forgalmi adó</t>
  </si>
  <si>
    <t>negatív sorok</t>
  </si>
  <si>
    <t xml:space="preserve">  1.2. Normatív állami hozzájárulás</t>
  </si>
  <si>
    <t xml:space="preserve">         feladatmutató szerint</t>
  </si>
  <si>
    <t xml:space="preserve">    1.4. Támogatások, pénzeszköz átadások</t>
  </si>
  <si>
    <t xml:space="preserve">  1.3. Központosított támogatás</t>
  </si>
  <si>
    <t xml:space="preserve">           Társadalom és szoc.pol.juttatás</t>
  </si>
  <si>
    <t xml:space="preserve">  1.4. Kiegészítő támogatás közokt. fela.</t>
  </si>
  <si>
    <t xml:space="preserve">                      Ebből:</t>
  </si>
  <si>
    <t xml:space="preserve">                       - Roma Kisebbségi Önkormányzat</t>
  </si>
  <si>
    <t>4a. mell.</t>
  </si>
  <si>
    <t>4aa. mell.</t>
  </si>
  <si>
    <t>4c. mell.</t>
  </si>
  <si>
    <t>ÖNKORMÁNYZAT</t>
  </si>
  <si>
    <t xml:space="preserve">  2.2.Jövedelemkülönb.mérséklésre</t>
  </si>
  <si>
    <t xml:space="preserve">  2.3. Gépjárműadó</t>
  </si>
  <si>
    <t>Költségvetési sor neve</t>
  </si>
  <si>
    <t>Tartozik</t>
  </si>
  <si>
    <t>10. Hitel felvétel</t>
  </si>
  <si>
    <t xml:space="preserve">1. </t>
  </si>
  <si>
    <t>méltányossági alapon történő elengedésének összege</t>
  </si>
  <si>
    <t xml:space="preserve">2. </t>
  </si>
  <si>
    <t>nyújtott kölcsönök elengedésének összege</t>
  </si>
  <si>
    <t xml:space="preserve">  (I.) Mákvirág Óvoda </t>
  </si>
  <si>
    <t>márc.</t>
  </si>
  <si>
    <t>ápr.</t>
  </si>
  <si>
    <t>máj.</t>
  </si>
  <si>
    <t>jún.</t>
  </si>
  <si>
    <t>júl</t>
  </si>
  <si>
    <t>aug.</t>
  </si>
  <si>
    <t>szept.</t>
  </si>
  <si>
    <t>okt.</t>
  </si>
  <si>
    <t>nov.</t>
  </si>
  <si>
    <t>dec.</t>
  </si>
  <si>
    <t xml:space="preserve">  1.5. Egyéb központi támogatás</t>
  </si>
  <si>
    <t>,</t>
  </si>
  <si>
    <t>Hatáskör</t>
  </si>
  <si>
    <t>Hány sor</t>
  </si>
  <si>
    <t>Sorsz.</t>
  </si>
  <si>
    <t>Módosítás száma</t>
  </si>
  <si>
    <t>Módosító</t>
  </si>
  <si>
    <t>Melléklet</t>
  </si>
  <si>
    <t>CSILI Művelődési Központ összesen</t>
  </si>
  <si>
    <t>Összesen (füzetből)</t>
  </si>
  <si>
    <t>Különbség (tábl.-füzet)</t>
  </si>
  <si>
    <t>3b</t>
  </si>
  <si>
    <t>4b</t>
  </si>
  <si>
    <t xml:space="preserve">     5.1.2. Biztonságos Magyarországért Közal. támogatása</t>
  </si>
  <si>
    <t>Működési célú bevételek és kiadások</t>
  </si>
  <si>
    <t>Nyújtott támogatás miatti korrekció:</t>
  </si>
  <si>
    <t xml:space="preserve">4.2. Felhalmozási célra átvett pénzeszközök </t>
  </si>
  <si>
    <t xml:space="preserve">        4.2.1.  Fővárosi Stratégiai Alap útépítésre</t>
  </si>
  <si>
    <t>Megnevezés</t>
  </si>
  <si>
    <t>CSILI Művelődési Központ</t>
  </si>
  <si>
    <t>Természetben nyújtott szociális ellátások összesen</t>
  </si>
  <si>
    <t>KÖLTSÉGVETÉSI HIÁNY BELSŐ FINANSZÍROZÁSÁRA SZOLGÁLÓ PÉNZFORGALOM NÉLKÜLI BEVÉTELEK</t>
  </si>
  <si>
    <t>KÖLTSÉGVETÉSI HIÁNY BELSŐ FINANSZÍROZÁSÁT MEGHALADÓ ÖSSZEGÉNEK KÜLSŐ FINANSZÍROZÁSÁRA SZOLGÁLÓ BEVÉTELEK</t>
  </si>
  <si>
    <t xml:space="preserve">  1. Működési célú hitel felvétele és kötvénykibocsátás működési célra</t>
  </si>
  <si>
    <t xml:space="preserve">             2.1.1. Építményadó</t>
  </si>
  <si>
    <t>Részben önállóan gazdálkodó intézmény</t>
  </si>
  <si>
    <t xml:space="preserve">         8.1. Kiszámlázott termékek és szolgáltatások áfája</t>
  </si>
  <si>
    <t xml:space="preserve">         8.2. Értékesített tárgyi eszközök, immateriális javak áfája</t>
  </si>
  <si>
    <t>9.Pénzforg. nélküli bev. ( előző évi pénzmar.)</t>
  </si>
  <si>
    <t xml:space="preserve">         9.1. Polgármesteri Hivatal pénzmaradványa</t>
  </si>
  <si>
    <t xml:space="preserve">         9.2. Intézmények pénzmaradványa</t>
  </si>
  <si>
    <t>Bevételek összesen</t>
  </si>
  <si>
    <t>Működési hiány</t>
  </si>
  <si>
    <t>Felhalmozási hiány</t>
  </si>
  <si>
    <t>Helyiségek, eszközök hasznosításából származó</t>
  </si>
  <si>
    <t>bevételből nyújtott kedvezmény, mentesség összege</t>
  </si>
  <si>
    <t>Követel</t>
  </si>
  <si>
    <t>Részletező</t>
  </si>
  <si>
    <t>júl.</t>
  </si>
  <si>
    <t xml:space="preserve">             2.3.2. Önkormányzati egyéb helyiségek
                           bérbeadásából származó bevétel</t>
  </si>
  <si>
    <t xml:space="preserve">             2.3.3. Közterület használatbavételi díja</t>
  </si>
  <si>
    <t xml:space="preserve">             2.3.4. Egyéb sajátos bevételek</t>
  </si>
  <si>
    <t xml:space="preserve">      3.11.Könyvtáriés Közm. érdekeltségnöv.támogatás</t>
  </si>
  <si>
    <t>Vállalt kötelezettség</t>
  </si>
  <si>
    <t xml:space="preserve">  (II.) Baross Ovi Kindergarten Baross Óvoda</t>
  </si>
  <si>
    <t>Tátra Téri Általános Iskola</t>
  </si>
  <si>
    <t>Tartalékok összesen:</t>
  </si>
  <si>
    <t xml:space="preserve">       4.1.15.Közoktatás 2002. Pályázati támogatás</t>
  </si>
  <si>
    <t>M e g n e v e z é s</t>
  </si>
  <si>
    <t xml:space="preserve">  (VIII.) "Zöld Ovi" Óvoda</t>
  </si>
  <si>
    <t xml:space="preserve">       4.1.2.   Munkanélküliek jöv. pótló támogatása</t>
  </si>
  <si>
    <t xml:space="preserve">       4.1.3.   Mozgáskorlátozottak közlekedési támogatása</t>
  </si>
  <si>
    <t xml:space="preserve">       4.1.4.   Közhasznú foglalkoztatás</t>
  </si>
  <si>
    <t xml:space="preserve">       4.1.5.   Polgári szolgálat</t>
  </si>
  <si>
    <t xml:space="preserve">       4.1.6.   Bevonulási segély</t>
  </si>
  <si>
    <t xml:space="preserve">       4.1.7.   Közoktatás 2001. tám. Okt. Min.</t>
  </si>
  <si>
    <t>Általános tartalék</t>
  </si>
  <si>
    <t>3a. mell.</t>
  </si>
  <si>
    <t>3b. mell.</t>
  </si>
  <si>
    <t>Szerződésekből fennálló kötelezettség</t>
  </si>
  <si>
    <t>3. Központi költségvetésből kapott költségvetési
    támogatás</t>
  </si>
  <si>
    <t xml:space="preserve">      3.7.   Közgyűjt.közműv.és műv.tev.bérpolitikai támogatás</t>
  </si>
  <si>
    <t xml:space="preserve">        4.2.3.  ISM-től pályázati támogatás Klapka téri játszótérre</t>
  </si>
  <si>
    <t xml:space="preserve">        4.2.4.Fővárosi Szolidaritási Alapból pályázati támogatás</t>
  </si>
  <si>
    <t xml:space="preserve">         10.1. Működési hitel</t>
  </si>
  <si>
    <t xml:space="preserve">         10.2. Fejlesztési hitel</t>
  </si>
  <si>
    <t>BEVÉTELEK MINDÖSSZESEN</t>
  </si>
  <si>
    <t>előirányzat</t>
  </si>
  <si>
    <t>2016.</t>
  </si>
  <si>
    <t>2017.</t>
  </si>
  <si>
    <t>2018.</t>
  </si>
  <si>
    <t>2019.</t>
  </si>
  <si>
    <t>Felvett, átvállalt hitel és annak tőketartozása*</t>
  </si>
  <si>
    <t xml:space="preserve">      3.1.   Normatív állami hozzájárulás
                 állandó népességszámhoz kötötten</t>
  </si>
  <si>
    <t>III.</t>
  </si>
  <si>
    <t>III.2.</t>
  </si>
  <si>
    <t>III.3.</t>
  </si>
  <si>
    <t>Egyes szociális és gyermekjóléti feladatok támogatása</t>
  </si>
  <si>
    <t>III.3.b</t>
  </si>
  <si>
    <t>III.3.c (1)</t>
  </si>
  <si>
    <t>III.3.f (1)</t>
  </si>
  <si>
    <t>III.3.ja (1)</t>
  </si>
  <si>
    <t>III.4.</t>
  </si>
  <si>
    <t>III.4.a</t>
  </si>
  <si>
    <t>III.4.b</t>
  </si>
  <si>
    <t>Önként vállalt feladat</t>
  </si>
  <si>
    <t>Állami (államigazgatási) feladat</t>
  </si>
  <si>
    <t>Egyéb, az önkormányzat rendeletében megállapítható juttatás összesen:</t>
  </si>
  <si>
    <t>Rászorultságtól függő pénzbeni szoc. gyermekvéd.ell. összesen:</t>
  </si>
  <si>
    <t>Rászorultságtól függő pénzbeni szociális, gyermekvédelmi ellátás mindösszesen</t>
  </si>
  <si>
    <t>Környezetvédelemmel kapcsolatos tartalék</t>
  </si>
  <si>
    <t>Oktatási és kulturális támogatási tartalék</t>
  </si>
  <si>
    <t xml:space="preserve">    9.1. Pesterzsébeti Roma Nemzetiségi Önkormányzat</t>
  </si>
  <si>
    <t>B411</t>
  </si>
  <si>
    <t>Egyéb működési bevételek</t>
  </si>
  <si>
    <t>B75</t>
  </si>
  <si>
    <t>Idegenforgalmi adó</t>
  </si>
  <si>
    <t>Termékek és szolgáltatások adói</t>
  </si>
  <si>
    <t>Vagyoni típusú adók</t>
  </si>
  <si>
    <t>Egyéb bírság (helyi adóhoz kapcsolódó)</t>
  </si>
  <si>
    <t>Késedelmi pótlék ( helyi adóhoz kapcsolódó)</t>
  </si>
  <si>
    <t>Önk-i lakások lakbérbevétele</t>
  </si>
  <si>
    <t>Önk-i lakások közüzemi díja</t>
  </si>
  <si>
    <t>Önk-i nem lakás célú helyiségek bérbeadásából származó bevétel</t>
  </si>
  <si>
    <t>Önk-i nem lakás célú helyiségek közüzemi díja</t>
  </si>
  <si>
    <t>Közterület használatba vételi díj</t>
  </si>
  <si>
    <t>Helyi támogatás</t>
  </si>
  <si>
    <t>Dolgozóknak nyújtott kölcsön</t>
  </si>
  <si>
    <t xml:space="preserve">    7.1. Fővárosi Önkormányzat Jahn Ferenc Dél-pesti Kórház és Rendelőintézet</t>
  </si>
  <si>
    <t>2. Nonprofit gazdasági társaságok</t>
  </si>
  <si>
    <t>3. Egyéb civil szervezetek</t>
  </si>
  <si>
    <t>4. Háztartások</t>
  </si>
  <si>
    <t>5. Pénzügyi vállalkozások</t>
  </si>
  <si>
    <t>6. Állami többségi tulajdonú nem pénzügyi vállalkozásoknak</t>
  </si>
  <si>
    <t>7. Önkormányzati többségi tulajdonú nem pénzügyi vállalkozásoknak</t>
  </si>
  <si>
    <t>8. Egyéb vállalkozásoknak</t>
  </si>
  <si>
    <t xml:space="preserve">     8.1. ESMTK LE.KFT. </t>
  </si>
  <si>
    <t xml:space="preserve">     8.2. Aranyfű  Gyógyszertár Pesterzsébet</t>
  </si>
  <si>
    <t>2.</t>
  </si>
  <si>
    <t>Sétáló utca bővítése Erzsébet térig kiviteli terv készítése</t>
  </si>
  <si>
    <t>3.</t>
  </si>
  <si>
    <t>6.</t>
  </si>
  <si>
    <t>TÉR_KÖZ "A Pesterzsébeti Hullám csónakházak szabadidős és turisztikai célú komplex fejlesztése és szerves gyalogos összeköttetés kialakítása a városközponttal" pályázati támogatás és önrész (nettó)</t>
  </si>
  <si>
    <t>7.</t>
  </si>
  <si>
    <t>TÉR_KÖZ "A Pesterzsébeti Hullám csónakházak szabadidős és turisztikai célú komplex fejlesztése és szerves gyalogos összeköttetés kialakítása a városközponttal" pályázathoz kapcsolódó el nem számolható önrész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</si>
  <si>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</si>
  <si>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</si>
  <si>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</si>
  <si>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</si>
  <si>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</si>
  <si>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</si>
  <si>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</si>
  <si>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</si>
  <si>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</si>
  <si>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</si>
  <si>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</si>
  <si>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</si>
  <si>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</si>
  <si>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</si>
  <si>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</si>
  <si>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</si>
  <si>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</si>
  <si>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</si>
  <si>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</si>
  <si>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</si>
  <si>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</si>
  <si>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</si>
  <si>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</si>
  <si>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</si>
  <si>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Költségoptimalizáló IT rendszer beszerzése</t>
  </si>
  <si>
    <t>32.</t>
  </si>
  <si>
    <t>33.</t>
  </si>
  <si>
    <t>Jókai Mór utca 56. üzlethelyiség tetőfelújítás</t>
  </si>
  <si>
    <t>34.</t>
  </si>
  <si>
    <t>35.</t>
  </si>
  <si>
    <t>36.</t>
  </si>
  <si>
    <t>37.</t>
  </si>
  <si>
    <t>38.</t>
  </si>
  <si>
    <t>39.</t>
  </si>
  <si>
    <t>40.</t>
  </si>
  <si>
    <t>41.</t>
  </si>
  <si>
    <t>2022.</t>
  </si>
  <si>
    <t>Az Önkormányzat 2016. évi adósságot keletkeztető fejlesztési céljai</t>
  </si>
  <si>
    <t>Iparűzési adó 2015. évi költségéhez kapcsolódó bevétel</t>
  </si>
  <si>
    <t>Késedelmi pótllék és adóbírság bevételei (Iparűzési adó)</t>
  </si>
  <si>
    <t>Központi támogatás összege                               (e Ft)</t>
  </si>
  <si>
    <t>A HELYI ÖNKORMÁNYZATOK MŰKÖDÉSÉNEK ÁLTALÁNOS TÁMOGATÁSA</t>
  </si>
  <si>
    <t>I.1.e)</t>
  </si>
  <si>
    <t>Üdülőhelyi feladatok támogatása</t>
  </si>
  <si>
    <t>2016. évben 8 hónapra</t>
  </si>
  <si>
    <t>II.1.(1) 1</t>
  </si>
  <si>
    <t xml:space="preserve">óvodapedagógusok elismert létszáma </t>
  </si>
  <si>
    <t>II.1.(2) 1</t>
  </si>
  <si>
    <t>II.1.(3) 1</t>
  </si>
  <si>
    <t>2016. évben 4 hónapra</t>
  </si>
  <si>
    <t>II.1.(1) 2</t>
  </si>
  <si>
    <t>II.1.(2) 2</t>
  </si>
  <si>
    <t>II.1.(3) 2</t>
  </si>
  <si>
    <t>II.1.(4) 2</t>
  </si>
  <si>
    <t>óvodapedagógusok elismert létszáma (pótlólagos összeg)</t>
  </si>
  <si>
    <t>II.1.(5) 2</t>
  </si>
  <si>
    <t>II.4.</t>
  </si>
  <si>
    <t>III.3.a</t>
  </si>
  <si>
    <t>Család- és gyermekjóléti szolgálat</t>
  </si>
  <si>
    <t>szociális étkeztetés</t>
  </si>
  <si>
    <t>időskorúak nappali intézményi ellátása</t>
  </si>
  <si>
    <t>A finanszírozás szempontjából elismert dolgozók bértámogatása</t>
  </si>
  <si>
    <t>Intézmény-üzemeltetési támogatás</t>
  </si>
  <si>
    <t>Gyermekétkeztetés üzemeltetési támogatása</t>
  </si>
  <si>
    <t xml:space="preserve">IV. </t>
  </si>
  <si>
    <t>Önk-i lakások közös költsége</t>
  </si>
  <si>
    <t>Önk-i nem lakás célú helyiségek közös költsége</t>
  </si>
  <si>
    <t>Egyéb önk-i vagyon bérbeadásából származó bevétel</t>
  </si>
  <si>
    <t>1. Egyéb működési célú támogatások bevételei Áh-n belülről központi költségvetési szervtől</t>
  </si>
  <si>
    <t xml:space="preserve">  1.1. Kiegészítő gyermekvédelmi támogtás és annak pótléka</t>
  </si>
  <si>
    <t xml:space="preserve">  1.2. Természetbeni támogatás</t>
  </si>
  <si>
    <t>2. Egyéb működési célú támogatások bevételei Áh-n belülről központi kezelésű előirányzattól</t>
  </si>
  <si>
    <t xml:space="preserve">Pályázatok önrésze </t>
  </si>
  <si>
    <t>Felnőtt háziorvosi ügyelet</t>
  </si>
  <si>
    <t>Gyermekorvosi ügyelet</t>
  </si>
  <si>
    <t>Nyári gyermekétkeztetés</t>
  </si>
  <si>
    <t>2015. évről áthúzódó bérkompenzáció támogatása</t>
  </si>
  <si>
    <t>III.7</t>
  </si>
  <si>
    <t>A TELEPÜLÉSI ÖNKORMÁNYZATOK SZOCIÁLIS, GYERMEKJÓLÉTI ÉS GYERMEKÉTKEZTETÉSI FELADATAINAK TÁMOGATÁSA</t>
  </si>
  <si>
    <t xml:space="preserve">    10.1. Szernye és Barkaszo Önkormányzata (Ukrajna)</t>
  </si>
  <si>
    <t>Szociális ágazati pótlék</t>
  </si>
  <si>
    <t>B111</t>
  </si>
  <si>
    <t>B112</t>
  </si>
  <si>
    <t>Helyi önkormányzatok működésének általános támogatása</t>
  </si>
  <si>
    <t>Települési önkormányzatok egyes köznevelési feladatainak támogatása</t>
  </si>
  <si>
    <t>B113</t>
  </si>
  <si>
    <t>Települési önkormányzatok szociális, gyermekjóléti  és gyermekétkeztetési feladatainak támogatása</t>
  </si>
  <si>
    <t>B114</t>
  </si>
  <si>
    <t>1. Fővárosi önkormányzatok közművelődési támogatása</t>
  </si>
  <si>
    <t>Építményadó</t>
  </si>
  <si>
    <t>Telekadó</t>
  </si>
  <si>
    <t>Lakótelek értékesítése</t>
  </si>
  <si>
    <t>Önk-i lakások értékesítése</t>
  </si>
  <si>
    <t>Egyéb ingatlan értékesítése</t>
  </si>
  <si>
    <t>Rendkívüli települési támogatás 45. § (3), 2/2015. (II. 17.) Ök. rend. 15. § (1)</t>
  </si>
  <si>
    <t>Rendkívüli települési támogatás méltányosságból Szt. 45. § (3), 2/2015. (II. 17.) Ök. rend. 15. § (11)</t>
  </si>
  <si>
    <t xml:space="preserve">Pénzbeli krízistámogatás 2/2015. (II. 17.) Ök. rend. 19. § </t>
  </si>
  <si>
    <t>Települési lakásfenntartási támogatás 2/2015. (II. 17.) Ök. rend. 21. § (1)</t>
  </si>
  <si>
    <t>Települési gyógyszertámogatás 2/2015. (II. 17.) Ök. rend. 16. § (1)</t>
  </si>
  <si>
    <t xml:space="preserve">Települési díjhátralék-csökkentési támogatás 2/2015. (II. 17.) Ök. rend. 27 § </t>
  </si>
  <si>
    <t>Rendkívüli települési támogatás 45. § (1), 2/2015. (II. 17.) Ök. rend. 15. § (16) (K48)</t>
  </si>
  <si>
    <t xml:space="preserve"> - irattári goldolák cseréje I. ütem</t>
  </si>
  <si>
    <t xml:space="preserve">  </t>
  </si>
  <si>
    <t xml:space="preserve"> - szerver szoba korszerűsítése</t>
  </si>
  <si>
    <t xml:space="preserve"> - szavazatszámláló rendszer felújítása</t>
  </si>
  <si>
    <t xml:space="preserve"> - napelemes rendszer technológiai fejlesztése</t>
  </si>
  <si>
    <t xml:space="preserve"> - hivatali helyiség átalakítása (áthúzódó)</t>
  </si>
  <si>
    <t xml:space="preserve"> - szerver szoba klíma csere</t>
  </si>
  <si>
    <t xml:space="preserve"> - tetőkibúvók kicserélése</t>
  </si>
  <si>
    <t>1. A 2015. évről áthúzódó bérkompenzáció támogatása</t>
  </si>
  <si>
    <t xml:space="preserve"> - szoftverfejlesztés (áthúzódó)</t>
  </si>
  <si>
    <t xml:space="preserve"> - Polgármesteri Hivatal épületének villamoshálózat felújítása (áthúzódó)</t>
  </si>
  <si>
    <t xml:space="preserve"> - Polgármesteri Hivatal belső udvari ablakok cseréje</t>
  </si>
  <si>
    <t>Egyéb működési célú támogatások bevételei Áh-n belülről társadalombiztosítási alaptól</t>
  </si>
  <si>
    <t>Egyéb működési célú támogatások bevételei Áh-n belülről elkülönített állami pénzalaptól</t>
  </si>
  <si>
    <t>Önkormányzati ingatlanok előrefizetős mérőórával való felszerelése:</t>
  </si>
  <si>
    <t>Kulcsár u. közterületi parkban kút létesítése (áthúzódó)</t>
  </si>
  <si>
    <t>Baross u. - Topánka u. parkokban kutak létesítése (áthúzódó)</t>
  </si>
  <si>
    <t xml:space="preserve"> - TÉR_KÖZ "A Pesterzsébeti Hullám csónakházak szabadidős és turisztikai célú komplex fejlesztése és szerves gyalogos összeköttetés kialakítása a városközponttal" pályázati támogatás és önrész (nettó)</t>
  </si>
  <si>
    <t>"A Pesterzsébeti Hullám csónakházak szabadidős és turisztikai célú komplex fejlesztése, II. ütem" TÉR_KÖZ pályázati támogatás+önrész</t>
  </si>
  <si>
    <t xml:space="preserve">Önkormányzati lakások és helyiségek kiadásai: </t>
  </si>
  <si>
    <t>Közterülettel kapcsolatos kiadások:</t>
  </si>
  <si>
    <t>Önkormányzati intézményekkel, ingatlanokkal kapcsolatos kiadások: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</si>
  <si>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</si>
  <si>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</si>
  <si>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</si>
  <si>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</si>
  <si>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</si>
  <si>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</si>
  <si>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</si>
  <si>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</si>
  <si>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</si>
  <si>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</si>
  <si>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</si>
  <si>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Kertészeti beruházások</t>
  </si>
  <si>
    <t>Közterületi utcabútorok és parki tartozékok kihelyezése</t>
  </si>
  <si>
    <t>Tátra téri piac forgalmi rend kiépítése</t>
  </si>
  <si>
    <t>Vörösmarty utca forgalmi rend változtatása</t>
  </si>
  <si>
    <t>Fekvőrendőrök létesítése</t>
  </si>
  <si>
    <t>Pöltenberg u. útépítés</t>
  </si>
  <si>
    <t>Gyalogátkelőhelyek létesítése</t>
  </si>
  <si>
    <t>Zodony utcai gyalogátkelő létesítése</t>
  </si>
  <si>
    <t>Önkormányzati ingatlanokba vízóra telepítése</t>
  </si>
  <si>
    <t>Önkormányzati ingatlanok fűtéskorszerűsítése</t>
  </si>
  <si>
    <t>Egyéb beruházások önkormányzati lakásokban</t>
  </si>
  <si>
    <t>Egyéb beruházások önkormányzati nem lakás célú helyiségekben</t>
  </si>
  <si>
    <t>Mákvirág Óvoda (Rákóczi u. 82-84.) tálaló konyha átalakítása</t>
  </si>
  <si>
    <t>Hullám Csónakház légtechnika, gázbekötés és üzembe helyezés</t>
  </si>
  <si>
    <t>Hullám Csónakház kerítésépítés</t>
  </si>
  <si>
    <t>Hullám Csónakház parti út kiépítése világítással</t>
  </si>
  <si>
    <t>Kamerarendszer bővítése</t>
  </si>
  <si>
    <t>Ingatlan vásárlás</t>
  </si>
  <si>
    <t>CIVILHÁZ pince felújítása, vizesblokkok, vendégszoba</t>
  </si>
  <si>
    <t>Pázsítos stny 2 helyiség átalakítása áthúzódó</t>
  </si>
  <si>
    <t>közterületi játszószerek felújítása</t>
  </si>
  <si>
    <t>Kamerarendszer felújítása:</t>
  </si>
  <si>
    <t>K914</t>
  </si>
  <si>
    <t>Központi támogatás megelőlegezése</t>
  </si>
  <si>
    <t>1. Központi támogatás megelőlegezése</t>
  </si>
  <si>
    <t>Korrekció</t>
  </si>
  <si>
    <t>PESTERZSÉBETI BAROSS NÉMET NEMZETISÉGI ÓVODA</t>
  </si>
  <si>
    <t>Pesterzsébet Önkormányzatának Humán Szolgáltatások Intézménye</t>
  </si>
  <si>
    <t xml:space="preserve">Pesterzsébeti Múzeum </t>
  </si>
  <si>
    <t>Pesterzsébeti Baross Német Nemzetiségi Óvoda</t>
  </si>
  <si>
    <t>Pesterzsébeti Gézengúz Óvoda</t>
  </si>
  <si>
    <t>Pesterzsébeti Lurkóház Óvoda</t>
  </si>
  <si>
    <t>Pesterzsébeti Nyitnikék Óvoda</t>
  </si>
  <si>
    <t>Pesterzsébeti Gyermekmosoly Óvoda</t>
  </si>
  <si>
    <t>Pesterzsébeti Kerekerdő Óvoda</t>
  </si>
  <si>
    <t xml:space="preserve">GAMESZ </t>
  </si>
  <si>
    <t>Önkormányzat összesen</t>
  </si>
  <si>
    <t>Pesterzsébet Önkormányzatának Humán Szolgáltatások Intézménye bedolgozói létszám</t>
  </si>
  <si>
    <t>Bedolgozói létszám és közfoglalkoztatottak összesen</t>
  </si>
  <si>
    <t xml:space="preserve">mínusz: - Felhalmozási célú tartalék </t>
  </si>
  <si>
    <t>2018. év</t>
  </si>
  <si>
    <t>2018. évi kötelezettség</t>
  </si>
  <si>
    <t>Kiegészítő szociális ágazati pótlék</t>
  </si>
  <si>
    <t xml:space="preserve">Magyar Labdarugó Szövetség "Labdarúgó Pályaépítési program" pályázat önrésze (Műfüves kispályák és nagypálya építés) </t>
  </si>
  <si>
    <t>HSZI</t>
  </si>
  <si>
    <t>Ellátottak térítésidíjának, kártérítésének:</t>
  </si>
  <si>
    <t>intézményvezetői hatáskörben adott kedvezmény</t>
  </si>
  <si>
    <t xml:space="preserve">aktív korúak kedvezménye </t>
  </si>
  <si>
    <t>Vizisport u. 12-18. DUNA-ÁG INVEST KFT. Beruházás</t>
  </si>
  <si>
    <t>József Attila Nyelvoktató Nemzetiségi Ált. Iskola konyha beruházás átvétele</t>
  </si>
  <si>
    <t>Pesterzsébeti Kerekerdő Óvoda (Nagysándor J. 189.) vizesblokkok felújítása</t>
  </si>
  <si>
    <t>Zrínyi Miklós Általános Iskola Í(Mártírok útja 47.) F-105 kazán blokk kiszerelése, új kazán beépítése</t>
  </si>
  <si>
    <t>Gyulai István Általános Iskola (Mártírok u. 205.) emelet ráépítés</t>
  </si>
  <si>
    <t>Pesterzsébeti Múzeum (Baross u. 53.) kapusüllyedés megállítása</t>
  </si>
  <si>
    <t>Pesterzsébeti Múzeum (Baross u. 53.) biztonsági kamera + rács</t>
  </si>
  <si>
    <t>Szent Imre Herceg utca 80. II/12. tetőfelújítás</t>
  </si>
  <si>
    <t>Fűtő-főző berendezések pótlása önkormányzati lakásokban</t>
  </si>
  <si>
    <t>Köztársaság téri Bölcsőde (Köztársaság tér 1.)  fűtéskorszerűsítés</t>
  </si>
  <si>
    <t>Csili Művelődési Központ (Nagy Győri I. u. 4-6.) bejárat átalakítási munkái</t>
  </si>
  <si>
    <t>Csili Művelődési Központ (Nagy Győri I. u. 4-6.)  színházterem átalakítási munkái</t>
  </si>
  <si>
    <t>Pesterzsébeti Uszoda vegyszerellátó rendszer átalakítása uszoda áthúzódó</t>
  </si>
  <si>
    <t>Pesterzsébeti Baross Német Nemzetiségi Óvoda (Baross utca 79.) udvar rendbetétele</t>
  </si>
  <si>
    <t>Csili Művelődési Központ (Nagy Győri I. u. 4-6.) egyéb felújítási munkák</t>
  </si>
  <si>
    <t>Intézmények felújítása</t>
  </si>
  <si>
    <t>Intézményi kerítések felújítása</t>
  </si>
  <si>
    <t>Intézményi tetőfelülvilágítók felújítása</t>
  </si>
  <si>
    <t>Intézményi játszószerek felújítása</t>
  </si>
  <si>
    <t>Jégcsarnok ablakok felújítása</t>
  </si>
  <si>
    <t>Gaál Imre Galéria pincerész felújítása</t>
  </si>
  <si>
    <t>Rack szekrény átalakítása, felújítása</t>
  </si>
  <si>
    <t>*</t>
  </si>
  <si>
    <t>2019. évi kötelezettség</t>
  </si>
  <si>
    <t>2020. évi kötelezettség</t>
  </si>
  <si>
    <t>2019. év</t>
  </si>
  <si>
    <t>2020. év</t>
  </si>
  <si>
    <t>Közlekedésbiztonsági fejlesztések Budapest XX. kerületében</t>
  </si>
  <si>
    <t>VEKOP-5.3.1-15-2016-00004</t>
  </si>
  <si>
    <t>350 000 000                    (a XX. kerületet érintő támogatás             12 100 000)</t>
  </si>
  <si>
    <t xml:space="preserve"> Nemzetgazdasági Minisztérium Regionális Fejlesztési Operatív Programok Irányító Hatósága  (konzorcíumi szerződés keretén belül  Budapest Főváros Önkormányzatával)</t>
  </si>
  <si>
    <t>2017-01-02-től 2019-09-30-ig</t>
  </si>
  <si>
    <t>Ft-ban</t>
  </si>
  <si>
    <t>2017. évi javasolt előirányzat (Ft-ban)</t>
  </si>
  <si>
    <t>2017/2016.</t>
  </si>
  <si>
    <t>Iparűzési adó 2016. évi költségéhez kapcsolódó bevétel</t>
  </si>
  <si>
    <t xml:space="preserve">  2.1. "2015. évi Európai Mobilitási Hét és Autómentes Nap rendezvény" pályázati támogatás</t>
  </si>
  <si>
    <t>2016. évi eredeti előirányzat         (e Ft-ban)</t>
  </si>
  <si>
    <t xml:space="preserve">    7.3. Iparűzési adó beszedéssel kapcs. költségek fedezete</t>
  </si>
  <si>
    <t xml:space="preserve">Születési támogatás 2/2015.(II.17.) Önk. rend. 34/C. § </t>
  </si>
  <si>
    <t xml:space="preserve">Gyermekeknek nyújtott sporttámogatás 2/2015.(II.17.) Önk. rend. 34/A. § </t>
  </si>
  <si>
    <t>Szállítási szolgáltatáshoz nyújtott támogatás 2/2015.(II.17.) Önk. rend.  17. § (1)</t>
  </si>
  <si>
    <t>Középiskolai tanulmányi támogatás 2/2015 (II.17.) Önk. Rend. 34/D. §</t>
  </si>
  <si>
    <t>Oltási támogatás 2/2015. (II.17.) Önk. rend. 34/B. §</t>
  </si>
  <si>
    <t>Tárgyév                    2017.</t>
  </si>
  <si>
    <t>2023.</t>
  </si>
  <si>
    <t xml:space="preserve">2024. és ezt követő években </t>
  </si>
  <si>
    <t>2016. évi eredeti előirányzat              (e Ft-ban)</t>
  </si>
  <si>
    <t>2016. évi eredeti előirányzat                 (e Ft-ban)</t>
  </si>
  <si>
    <t>1. Egyéb felhalmozási célú támogatások bevételei Áh-n belülről egyéb fejezeti kezelésű előirányzatok</t>
  </si>
  <si>
    <t>2. Egyéb felhalmozási célú támogatások bevételei Áh-n belülről helyi önkormányzatok és költségvetési szerveik</t>
  </si>
  <si>
    <t xml:space="preserve">  2.1.  "A Pesterzsébeti Hullám csónakházak szabadidős és turisztikai célú komplex fejlesztése és szerves gyalogos összeköttetés kialakítása a városközponttal" TÉR_KÖZ pályázati támogatás</t>
  </si>
  <si>
    <t xml:space="preserve">  2.2. "A Pesterzsébeti Hullám csónakházak szabadidős és turisztikai célú komplex fejlesztése, II. ütem" TÉR_KÖZ pályázati támogatás</t>
  </si>
  <si>
    <t>1.1. "Pesterzsébeti híd fejlesztése" 1818/2016. (XII. 22.) Korm. határozat szerinti támogatás</t>
  </si>
  <si>
    <t>3. Egyéb működési célú támogatások bevételei Áh-n belülről helyi önkormányzatok és költségvetési szerveik</t>
  </si>
  <si>
    <t xml:space="preserve">   3.1. Köztemetés bevétele</t>
  </si>
  <si>
    <t xml:space="preserve">   3.2.  "A Pesterzsébeti Hullám csónakházak szabadidős és turisztikai célú komplex fejlesztése és szerves gyalogos összeköttetés kialakítása a városközponttal" TÉR_KÖZ pályázati támogatás</t>
  </si>
  <si>
    <t>Belső finanszírozás</t>
  </si>
  <si>
    <t>Külső finanszírozás</t>
  </si>
  <si>
    <t>Hitelfelvétel</t>
  </si>
  <si>
    <t>Működési célú kamatbevételek Áh-n  kívülről</t>
  </si>
  <si>
    <t xml:space="preserve"> - dokumentumkezelő rendszer beszerzése</t>
  </si>
  <si>
    <t xml:space="preserve"> - Winszoc program (áthúzódó)</t>
  </si>
  <si>
    <t xml:space="preserve"> - IPS2-OCR nyomtatásvezérlő szoftver (support)</t>
  </si>
  <si>
    <t xml:space="preserve"> - levelező rendszer SPAM szűrő licenc bővítése</t>
  </si>
  <si>
    <t xml:space="preserve"> - Windows server 2016 átállás</t>
  </si>
  <si>
    <t xml:space="preserve"> - számítástechnikai hálózat fejlesztése</t>
  </si>
  <si>
    <t xml:space="preserve"> - számítógépek és nagyértékű számítástech. eszk.</t>
  </si>
  <si>
    <t xml:space="preserve"> - mentőszerver beszerzése</t>
  </si>
  <si>
    <t xml:space="preserve"> - kisértékű számítástechnikai és hálózati eszközök beszerzése</t>
  </si>
  <si>
    <t xml:space="preserve"> - hyper-V bővítés (virtuális szerverkörnyezet)</t>
  </si>
  <si>
    <t xml:space="preserve"> - V3700 storage bővítés (háttétár)</t>
  </si>
  <si>
    <t xml:space="preserve"> - szerverek beszerzése, karbantartása</t>
  </si>
  <si>
    <t xml:space="preserve"> - hivatal főépület vagyonvédelmi rendszer </t>
  </si>
  <si>
    <t xml:space="preserve"> - hivatal főépület kamerarendszer</t>
  </si>
  <si>
    <t xml:space="preserve"> - hivatali beléptetőrendszer</t>
  </si>
  <si>
    <t xml:space="preserve"> - kisértékű infokommunikációs eszköz beszerzése (informatikai beszerzés)</t>
  </si>
  <si>
    <t xml:space="preserve"> - központi irattár kialakítása (Ónodi u. 14. polcrendszer)</t>
  </si>
  <si>
    <t xml:space="preserve"> - járművek (Rendvédelmi Osztály)</t>
  </si>
  <si>
    <t xml:space="preserve"> - Ónodi u. 14. szám alatti központi irattár kialakítása</t>
  </si>
  <si>
    <t xml:space="preserve"> - elektronikus vagyonvédelmi rendszer felújítása </t>
  </si>
  <si>
    <t xml:space="preserve"> - Polgármesteri Hivatal női mosdók felújítása</t>
  </si>
  <si>
    <t>Baleseti kártérítések</t>
  </si>
  <si>
    <t>2016. évi eredeti előirányzat</t>
  </si>
  <si>
    <t>2017. évi javasolt előirányzat</t>
  </si>
  <si>
    <t>Ebből: közfoglalkoztatás</t>
  </si>
  <si>
    <t>bölcsőde</t>
  </si>
  <si>
    <t>Csili Művelődési Központ</t>
  </si>
  <si>
    <t>Gézengúz Óvoda</t>
  </si>
  <si>
    <t>Lurkóház Óvoda</t>
  </si>
  <si>
    <t>Gyermekmosoly Óvoda</t>
  </si>
  <si>
    <t>Nyitnikék Óvoda</t>
  </si>
  <si>
    <t>Kerekerdő Óvoda</t>
  </si>
  <si>
    <t xml:space="preserve"> - SQL 2016 átállás</t>
  </si>
  <si>
    <t>önkormányzati hivatal működésének támogatása elismert hivatali létszám - 116,09 fő - alapján</t>
  </si>
  <si>
    <t>V. Info</t>
  </si>
  <si>
    <t>Beszámítás</t>
  </si>
  <si>
    <t>V. Info 2</t>
  </si>
  <si>
    <t>SZH</t>
  </si>
  <si>
    <t>Szolidaritási hozzájárulás</t>
  </si>
  <si>
    <t>-</t>
  </si>
  <si>
    <t>II.2.(1) 1</t>
  </si>
  <si>
    <t>Óvoda napi nyitvatartási ideje eléri a nyolc órát</t>
  </si>
  <si>
    <t>II.2.(1) 2</t>
  </si>
  <si>
    <t>II.4.a(1)</t>
  </si>
  <si>
    <t>II.4.a(2)</t>
  </si>
  <si>
    <t>A települési önkormányzatok szociális feladatainak egyéb támogatása</t>
  </si>
  <si>
    <t>III.3.da</t>
  </si>
  <si>
    <t>házi segítségnyújtás-szociális segítés</t>
  </si>
  <si>
    <t>III.3.db</t>
  </si>
  <si>
    <t>házi segítségnyújtás-személyi gondozás</t>
  </si>
  <si>
    <t xml:space="preserve">      bölcsőde, mini bölcsőde - nem fogyatékos, nem hátrányos helyzetű gyermek</t>
  </si>
  <si>
    <t>III.3.ja (4)</t>
  </si>
  <si>
    <t>bölcsőde, mini bölcsőde - fogyatékos gyermek</t>
  </si>
  <si>
    <t>A települési önkormányzatok által biztosított egyes szociális szakosított ellátások, valamint a gyermekek átmeneti gondozásával kapcsolatos feladatok támogatása</t>
  </si>
  <si>
    <t>III.6.</t>
  </si>
  <si>
    <t>A rászoruló gyermekek szünidei étkezésének támogatása</t>
  </si>
  <si>
    <t xml:space="preserve">2016. január 1-jei lakosságszám: </t>
  </si>
  <si>
    <t>fő</t>
  </si>
  <si>
    <t xml:space="preserve">     1.4. Klebesberg Intézményfenntartó Központ (KLIK)</t>
  </si>
  <si>
    <t>1. Egyéb civil szervezetek</t>
  </si>
  <si>
    <r>
      <t xml:space="preserve">    1.1. Egyházaknak </t>
    </r>
    <r>
      <rPr>
        <b/>
        <sz val="12"/>
        <rFont val="Times New Roman"/>
        <family val="1"/>
      </rPr>
      <t>(felosztandó)</t>
    </r>
  </si>
  <si>
    <t>2016. évben benyújtott pályázatok kötött önrész tartaléka</t>
  </si>
  <si>
    <t>Munkabér-számla egyenlege</t>
  </si>
  <si>
    <t>Pedagógusok szeptemberi béremelésének tartaléka</t>
  </si>
  <si>
    <t>Sport támogatási céltartalék</t>
  </si>
  <si>
    <t>Felújítási célú tartalék</t>
  </si>
  <si>
    <t>Új weboldal készítése</t>
  </si>
  <si>
    <t>Önkormányzati ASP rendszerhez történő csatlakozás</t>
  </si>
  <si>
    <t>Bútorok, asztalok, székek beszerzése Civil Házba (tetőtér, pince, nagyterem)</t>
  </si>
  <si>
    <t>Egyéb tárgyi eszközök beszerzése Civil Házba (tálalóhelyiségek)</t>
  </si>
  <si>
    <r>
      <t xml:space="preserve">Baross utca - Topánka utca kereszteződésében található közterületen üzletsor építése </t>
    </r>
    <r>
      <rPr>
        <sz val="12"/>
        <color indexed="8"/>
        <rFont val="Times New Roman"/>
        <family val="1"/>
      </rPr>
      <t>(építési koncesszió Integrit-XX. Kft-vel, fordított áfás, áfa a dologi kiadások között tervezve)</t>
    </r>
  </si>
  <si>
    <t>Murvás parkoló létesítése Ady E u. - Nagysándor J. u. kereszteződésnél</t>
  </si>
  <si>
    <t>Murvás parkoló létesítése Alsóhatár út és Jahn Ferenc Kórház közötti területen</t>
  </si>
  <si>
    <t>Tátra téri játszótér bővítése, bekerítése, zöldfelület rekonstrukció</t>
  </si>
  <si>
    <t>Vadászkerítések létesítése</t>
  </si>
  <si>
    <t>Csili Művelődési Központ (Nagy Győri I. u. 4-6.)  légtechnikai berendezésének cseréje</t>
  </si>
  <si>
    <t>Pesterzsébeti Múzeum (Baross u. 53.) alagsorának szigetelése</t>
  </si>
  <si>
    <t>Pályázatok</t>
  </si>
  <si>
    <t>"Pesterzsébeti híd fejlesztése" 1818/2016. (XII. 22.) Korm. határozat szerinti támogatás</t>
  </si>
  <si>
    <r>
      <t xml:space="preserve">Önkormányzati ingatlanokba vízóra telepítése </t>
    </r>
    <r>
      <rPr>
        <sz val="12"/>
        <color indexed="60"/>
        <rFont val="Times New Roman"/>
        <family val="1"/>
      </rPr>
      <t>(áthúzódó)</t>
    </r>
  </si>
  <si>
    <t>Elővásárlási jog gyakorlása</t>
  </si>
  <si>
    <r>
      <t xml:space="preserve">Vizisport u. 12-18. szám alatti szálloda és egyéb építmények megvásárlása </t>
    </r>
    <r>
      <rPr>
        <sz val="12"/>
        <color indexed="60"/>
        <rFont val="Times New Roman"/>
        <family val="1"/>
      </rPr>
      <t>(Duna-Ág Invest Kft., nem áfás)</t>
    </r>
  </si>
  <si>
    <r>
      <t xml:space="preserve">"Memento Vivere! Gondolj az Életre!" című szobor elkészítése és felállítása -  </t>
    </r>
    <r>
      <rPr>
        <b/>
        <sz val="12"/>
        <rFont val="Times New Roman"/>
        <family val="1"/>
      </rPr>
      <t>KKETTKK-56P-02-0287 pályázathoz kapcsolódó el nem számolható költség</t>
    </r>
  </si>
  <si>
    <t>Horvai János: Ivó paraszt c. szobor elkészítése</t>
  </si>
  <si>
    <r>
      <t xml:space="preserve">"Memento Vivere! Gondolj az Életre!" című szobor elkészítése és felállítása </t>
    </r>
    <r>
      <rPr>
        <b/>
        <sz val="12"/>
        <rFont val="Times New Roman"/>
        <family val="1"/>
      </rPr>
      <t>-  KKETTKK-56P-02-0287 pályázat</t>
    </r>
  </si>
  <si>
    <r>
      <t xml:space="preserve">Mobil kamerarendszer beszerzése </t>
    </r>
    <r>
      <rPr>
        <sz val="10"/>
        <color indexed="60"/>
        <rFont val="Times New Roman"/>
        <family val="1"/>
      </rPr>
      <t>( Z1061154 áthúzódó)</t>
    </r>
  </si>
  <si>
    <r>
      <t xml:space="preserve">Vörösmarty 89-91. bölcsőde ablak csere </t>
    </r>
    <r>
      <rPr>
        <sz val="12"/>
        <color indexed="60"/>
        <rFont val="Times New Roman"/>
        <family val="1"/>
      </rPr>
      <t xml:space="preserve">(Z1060586 áthúzódó) </t>
    </r>
  </si>
  <si>
    <r>
      <t xml:space="preserve">Vörösmarty 89-91. bölcsőde ablakok felújítása </t>
    </r>
    <r>
      <rPr>
        <sz val="12"/>
        <color indexed="60"/>
        <rFont val="Times New Roman"/>
        <family val="1"/>
      </rPr>
      <t>(Z1060591 áthúzódó)</t>
    </r>
  </si>
  <si>
    <r>
      <t xml:space="preserve">"A Pesterzsébeti Hullám csónakházak szabadidős és turisztikai célú komplex fejlesztése, </t>
    </r>
    <r>
      <rPr>
        <b/>
        <sz val="12"/>
        <color indexed="8"/>
        <rFont val="Times New Roman"/>
        <family val="1"/>
      </rPr>
      <t>II. ütem" TÉR_KÖZ pályázathoz kapcsolódó el nem számolható saját költség</t>
    </r>
  </si>
  <si>
    <t>"A Pesterzsébeti Hullám csónakházak szabadidős és turisztikai célú komplex fejlesztése, II. ütem" TÉR_KÖZ pályázati támogatás+önrész   (14 960 630 Ft + 4 039 370 Ft Áfa támogatás és  7 859 842 Ft + 2 122 158 Ft Áfa önrész)</t>
  </si>
  <si>
    <r>
      <t xml:space="preserve">"A Pesterzsébeti Hullám csónakházak szabadidős és turisztikai célú komplex fejlesztése, </t>
    </r>
    <r>
      <rPr>
        <b/>
        <sz val="12"/>
        <color indexed="8"/>
        <rFont val="Times New Roman"/>
        <family val="1"/>
      </rPr>
      <t>II. ütem" TÉR_KÖZ pályázathoz kapcsolódó el nem számolható saját költség</t>
    </r>
  </si>
  <si>
    <t>2017. évi bevétel összesen</t>
  </si>
  <si>
    <t>2017. évi kiadás összesen</t>
  </si>
  <si>
    <t>K911</t>
  </si>
  <si>
    <t>Hitel és kölcsön törlesztés Áh-n kívülre</t>
  </si>
  <si>
    <t>B811</t>
  </si>
  <si>
    <t>1. Hosszú lejáratú hitel felvétele</t>
  </si>
  <si>
    <t>3. Felhalmozási célú irányító szervi támogatás</t>
  </si>
  <si>
    <t>Hiteltörlesztés</t>
  </si>
  <si>
    <t>Stromfeld Aurél emléktábla elkészítése</t>
  </si>
  <si>
    <t>Kolping Társaság emléktábla elkészítése</t>
  </si>
  <si>
    <t>(nettó Ft)</t>
  </si>
  <si>
    <t>Az osztályok által vállalt szerződéses kötelezettségvállalások</t>
  </si>
  <si>
    <t>ebből: Egyéb működési célú támogatások bevételei Áh-n belülről társadalombiztosítási alaptól</t>
  </si>
  <si>
    <r>
      <t xml:space="preserve">PESTERZSÉBET ÖNKORMÁNYZATÁNAK HUMÁN SZOLGÁLTATÁSOK INTÉZMÉNYE (HSZI) </t>
    </r>
    <r>
      <rPr>
        <b/>
        <u val="single"/>
        <sz val="12"/>
        <rFont val="Times New Roman"/>
        <family val="1"/>
      </rPr>
      <t>BEVÉTELEK</t>
    </r>
    <r>
      <rPr>
        <b/>
        <sz val="12"/>
        <rFont val="Times New Roman"/>
        <family val="1"/>
      </rPr>
      <t xml:space="preserve"> </t>
    </r>
  </si>
  <si>
    <r>
      <t xml:space="preserve">PESTERZSÉBET ÖNKORMÁNYZATÁNAK HUMÁN SZOLGÁLTATÁSOK INTÉZMÉNYE (HSZI) </t>
    </r>
    <r>
      <rPr>
        <b/>
        <u val="single"/>
        <sz val="12"/>
        <rFont val="Times New Roman"/>
        <family val="1"/>
      </rPr>
      <t>KIADÁSOK</t>
    </r>
    <r>
      <rPr>
        <b/>
        <sz val="12"/>
        <rFont val="Times New Roman"/>
        <family val="1"/>
      </rPr>
      <t xml:space="preserve"> </t>
    </r>
  </si>
  <si>
    <t>Topánka utca parkoló építés</t>
  </si>
  <si>
    <r>
      <t>Jégcsarnok és a Pesterzsébeti Uszoda elektromos fogyasztási mérőhelyének különválasztása</t>
    </r>
    <r>
      <rPr>
        <sz val="12"/>
        <color indexed="60"/>
        <rFont val="Times New Roman"/>
        <family val="1"/>
      </rPr>
      <t xml:space="preserve"> (Z10603337 áthúzódó)</t>
    </r>
  </si>
  <si>
    <r>
      <t xml:space="preserve">PESTERZSÉBET ÖNKORMÁNYZATÁNAK SZOCIÁLIS FOGLALKOZTATÓJA </t>
    </r>
    <r>
      <rPr>
        <b/>
        <u val="single"/>
        <sz val="12"/>
        <rFont val="Times New Roman"/>
        <family val="1"/>
      </rPr>
      <t>BEVÉTELEK</t>
    </r>
    <r>
      <rPr>
        <b/>
        <sz val="12"/>
        <rFont val="Times New Roman"/>
        <family val="1"/>
      </rPr>
      <t xml:space="preserve"> </t>
    </r>
  </si>
  <si>
    <r>
      <t xml:space="preserve">PESTERZSÉBET ÖNKORMÁNYZATÁNAK SZOCIÁLIS FOGLALKOZTATÓJA </t>
    </r>
    <r>
      <rPr>
        <b/>
        <u val="single"/>
        <sz val="12"/>
        <rFont val="Times New Roman"/>
        <family val="1"/>
      </rPr>
      <t>KIADÁSOK</t>
    </r>
    <r>
      <rPr>
        <sz val="12"/>
        <rFont val="Times New Roman"/>
        <family val="1"/>
      </rPr>
      <t xml:space="preserve"> </t>
    </r>
  </si>
  <si>
    <r>
      <t xml:space="preserve">CSILI MŰVELŐDÉSI KÖZPONT </t>
    </r>
    <r>
      <rPr>
        <b/>
        <u val="single"/>
        <sz val="12"/>
        <rFont val="Times New Roman"/>
        <family val="1"/>
      </rPr>
      <t>BEVÉTELEK</t>
    </r>
    <r>
      <rPr>
        <b/>
        <sz val="12"/>
        <rFont val="Times New Roman"/>
        <family val="1"/>
      </rPr>
      <t xml:space="preserve"> </t>
    </r>
  </si>
  <si>
    <r>
      <t xml:space="preserve">CSILI MŰVELŐDÉSI KÖZPONT </t>
    </r>
    <r>
      <rPr>
        <b/>
        <u val="single"/>
        <sz val="12"/>
        <rFont val="Times New Roman"/>
        <family val="1"/>
      </rPr>
      <t>KIADÁSOK</t>
    </r>
    <r>
      <rPr>
        <sz val="12"/>
        <rFont val="Times New Roman"/>
        <family val="1"/>
      </rPr>
      <t xml:space="preserve"> </t>
    </r>
  </si>
  <si>
    <r>
      <t xml:space="preserve">PESTERZSÉBETI MÚZEUM </t>
    </r>
    <r>
      <rPr>
        <b/>
        <u val="single"/>
        <sz val="12"/>
        <rFont val="Times New Roman"/>
        <family val="1"/>
      </rPr>
      <t>BEVÉTELEK</t>
    </r>
    <r>
      <rPr>
        <b/>
        <sz val="12"/>
        <rFont val="Times New Roman"/>
        <family val="1"/>
      </rPr>
      <t xml:space="preserve"> </t>
    </r>
  </si>
  <si>
    <r>
      <t xml:space="preserve">PESTERZSÉBETI MÚZEUM </t>
    </r>
    <r>
      <rPr>
        <b/>
        <u val="single"/>
        <sz val="12"/>
        <rFont val="Times New Roman"/>
        <family val="1"/>
      </rPr>
      <t>KIADÁSOK</t>
    </r>
    <r>
      <rPr>
        <sz val="12"/>
        <rFont val="Times New Roman"/>
        <family val="1"/>
      </rPr>
      <t xml:space="preserve"> </t>
    </r>
  </si>
  <si>
    <r>
      <t xml:space="preserve">PESTERZSÉBETI BAROSS NÉMET NEMZETISÉGI ÓVODA </t>
    </r>
    <r>
      <rPr>
        <b/>
        <u val="single"/>
        <sz val="12"/>
        <rFont val="Times New Roman"/>
        <family val="1"/>
      </rPr>
      <t>BEVÉTELEK</t>
    </r>
  </si>
  <si>
    <r>
      <t xml:space="preserve">PESTERZSÉBETI BAROSS NÉMET NEMZETISÉGI ÓVODA  </t>
    </r>
    <r>
      <rPr>
        <b/>
        <u val="single"/>
        <sz val="12"/>
        <rFont val="Times New Roman"/>
        <family val="1"/>
      </rPr>
      <t>KIADÁSOK</t>
    </r>
    <r>
      <rPr>
        <sz val="12"/>
        <rFont val="Times New Roman"/>
        <family val="1"/>
      </rPr>
      <t xml:space="preserve"> </t>
    </r>
  </si>
  <si>
    <r>
      <t xml:space="preserve">PESTERZSÉBETI GÉZENGÚZ ÓVODA </t>
    </r>
    <r>
      <rPr>
        <b/>
        <u val="single"/>
        <sz val="12"/>
        <rFont val="Times New Roman"/>
        <family val="1"/>
      </rPr>
      <t>BEVÉTELEK</t>
    </r>
    <r>
      <rPr>
        <b/>
        <sz val="12"/>
        <rFont val="Times New Roman"/>
        <family val="1"/>
      </rPr>
      <t xml:space="preserve"> </t>
    </r>
  </si>
  <si>
    <r>
      <t xml:space="preserve">PESTERZSÉBETI GÉZENGÚZ ÓVODA  </t>
    </r>
    <r>
      <rPr>
        <b/>
        <u val="single"/>
        <sz val="12"/>
        <rFont val="Times New Roman"/>
        <family val="1"/>
      </rPr>
      <t>KIADÁSOK</t>
    </r>
    <r>
      <rPr>
        <sz val="12"/>
        <rFont val="Times New Roman"/>
        <family val="1"/>
      </rPr>
      <t xml:space="preserve"> </t>
    </r>
  </si>
  <si>
    <r>
      <t xml:space="preserve">PESTERZSÉBETI LURKÓHÁZ ÓVODA </t>
    </r>
    <r>
      <rPr>
        <b/>
        <u val="single"/>
        <sz val="12"/>
        <rFont val="Times New Roman"/>
        <family val="1"/>
      </rPr>
      <t>BEVÉTELEK</t>
    </r>
    <r>
      <rPr>
        <b/>
        <sz val="12"/>
        <rFont val="Times New Roman"/>
        <family val="1"/>
      </rPr>
      <t xml:space="preserve"> </t>
    </r>
  </si>
  <si>
    <r>
      <t xml:space="preserve">PESTERZSÉBETI LURKÓHÁZ ÓVODA  </t>
    </r>
    <r>
      <rPr>
        <b/>
        <u val="single"/>
        <sz val="12"/>
        <rFont val="Times New Roman"/>
        <family val="1"/>
      </rPr>
      <t>KIADÁSOK</t>
    </r>
    <r>
      <rPr>
        <sz val="12"/>
        <rFont val="Times New Roman"/>
        <family val="1"/>
      </rPr>
      <t xml:space="preserve"> </t>
    </r>
  </si>
  <si>
    <r>
      <t xml:space="preserve">PESTERZSÉBETI NYITNIKÉK ÓVODA </t>
    </r>
    <r>
      <rPr>
        <b/>
        <u val="single"/>
        <sz val="12"/>
        <rFont val="Times New Roman"/>
        <family val="1"/>
      </rPr>
      <t>BEVÉTELEK</t>
    </r>
    <r>
      <rPr>
        <b/>
        <sz val="12"/>
        <rFont val="Times New Roman"/>
        <family val="1"/>
      </rPr>
      <t xml:space="preserve"> </t>
    </r>
  </si>
  <si>
    <r>
      <t xml:space="preserve">PESTERZSÉBETI NYITNIKÉK ÓVODA  </t>
    </r>
    <r>
      <rPr>
        <b/>
        <u val="single"/>
        <sz val="12"/>
        <rFont val="Times New Roman"/>
        <family val="1"/>
      </rPr>
      <t>KIADÁSOK</t>
    </r>
    <r>
      <rPr>
        <sz val="12"/>
        <rFont val="Times New Roman"/>
        <family val="1"/>
      </rPr>
      <t xml:space="preserve"> </t>
    </r>
  </si>
  <si>
    <r>
      <t xml:space="preserve">PESTERZSÉBETI GYERMEKMOSOLY ÓVODA </t>
    </r>
    <r>
      <rPr>
        <b/>
        <u val="single"/>
        <sz val="12"/>
        <rFont val="Times New Roman"/>
        <family val="1"/>
      </rPr>
      <t>BEVÉTELEK</t>
    </r>
    <r>
      <rPr>
        <b/>
        <sz val="12"/>
        <rFont val="Times New Roman"/>
        <family val="1"/>
      </rPr>
      <t xml:space="preserve"> </t>
    </r>
  </si>
  <si>
    <r>
      <t xml:space="preserve">PESTERZSÉBETI GYERMEKMOSOLY ÓVODA  </t>
    </r>
    <r>
      <rPr>
        <b/>
        <u val="single"/>
        <sz val="12"/>
        <rFont val="Times New Roman"/>
        <family val="1"/>
      </rPr>
      <t>KIADÁSOK</t>
    </r>
    <r>
      <rPr>
        <sz val="12"/>
        <rFont val="Times New Roman"/>
        <family val="1"/>
      </rPr>
      <t xml:space="preserve"> </t>
    </r>
  </si>
  <si>
    <r>
      <t xml:space="preserve">PESTERZSÉBETI KEREKERDŐ ÓVODA </t>
    </r>
    <r>
      <rPr>
        <b/>
        <u val="single"/>
        <sz val="12"/>
        <rFont val="Times New Roman"/>
        <family val="1"/>
      </rPr>
      <t>BEVÉTELEK</t>
    </r>
    <r>
      <rPr>
        <b/>
        <sz val="12"/>
        <rFont val="Times New Roman"/>
        <family val="1"/>
      </rPr>
      <t xml:space="preserve"> </t>
    </r>
  </si>
  <si>
    <r>
      <t xml:space="preserve">PESTERZSÉBETI KEREKERDŐ ÓVODA  </t>
    </r>
    <r>
      <rPr>
        <b/>
        <u val="single"/>
        <sz val="12"/>
        <rFont val="Times New Roman"/>
        <family val="1"/>
      </rPr>
      <t>KIADÁSOK</t>
    </r>
    <r>
      <rPr>
        <sz val="12"/>
        <rFont val="Times New Roman"/>
        <family val="1"/>
      </rPr>
      <t xml:space="preserve"> </t>
    </r>
  </si>
  <si>
    <r>
      <t xml:space="preserve">GAMESZ, mint intézmény </t>
    </r>
    <r>
      <rPr>
        <b/>
        <u val="single"/>
        <sz val="12"/>
        <rFont val="Times New Roman"/>
        <family val="1"/>
      </rPr>
      <t>BEVÉTELEK</t>
    </r>
  </si>
  <si>
    <r>
      <t xml:space="preserve">GAMESZ, mint intézmény </t>
    </r>
    <r>
      <rPr>
        <b/>
        <u val="single"/>
        <sz val="12"/>
        <rFont val="Times New Roman"/>
        <family val="1"/>
      </rPr>
      <t>KIADÁSOK</t>
    </r>
  </si>
  <si>
    <t>éves költségvetésben rögzítettek szerint</t>
  </si>
  <si>
    <t>Pesterzsébet Önkormányzatának Szociális Foglalkoztatója bedolgozói létszám</t>
  </si>
  <si>
    <t>CSILI Művelődési Központ közfoglalkoztatottak áthúzódó létszáma 2016-ról</t>
  </si>
  <si>
    <t>CSILI Művelődési Központ Hosszabb időtartamú közfoglalkoztatás létszáma 2017.</t>
  </si>
  <si>
    <t xml:space="preserve">Pesterzsébet Önkormányzatának Szociális Foglalkoztatója Közfoglalkoztatottak áthúzódó létszáma 2016-ról </t>
  </si>
  <si>
    <t>Pesterzsébet Önkormányzatának Szociális Foglalkoztatója Hosszabb időtartamú közfoglalkoztatás létszáma 2016.</t>
  </si>
  <si>
    <t>FINANSZÍROZÁSI KIADÁS</t>
  </si>
  <si>
    <t>2. Hiteltörlesztés</t>
  </si>
  <si>
    <t>Finanszírozási kiadás összesen:</t>
  </si>
  <si>
    <t>Előző évek előirányzat maradványának, maradványának és vállalkozási maradványának igénybevétele</t>
  </si>
  <si>
    <t>KÖLTSÉGVETÉSI EGYENLEG</t>
  </si>
  <si>
    <t>2016. (e Ft)</t>
  </si>
  <si>
    <t>2017. (Ft)</t>
  </si>
  <si>
    <t>2015. évi tény adatok (e Ft)</t>
  </si>
  <si>
    <t>2016. várható adatok (Ft)</t>
  </si>
  <si>
    <t>2017. évi terv adatok (Ft)</t>
  </si>
  <si>
    <t xml:space="preserve">Az összegek nagyságát az magyarázza, hogy tartalmaznak 12 786 000 000 Ft betétlekötést. </t>
  </si>
  <si>
    <t>HIÁNY FINANSZÍROZÁSA ÉS A FINANSZÍROZÁSI KIADÁSOK FEDEZETÉRE SZOLGÁLÓ FINANSZÍROZÁSI BEVÉTEL</t>
  </si>
  <si>
    <t>Támogatási szerződést kötő szerv</t>
  </si>
  <si>
    <t>Pályázat címe</t>
  </si>
  <si>
    <t>Pályázat témája</t>
  </si>
  <si>
    <t>Pályázati azonosító</t>
  </si>
  <si>
    <t>Szerződés szerinti támogatás összege</t>
  </si>
  <si>
    <t>Támogatás intenzitása</t>
  </si>
  <si>
    <t>Saját forrás összege</t>
  </si>
  <si>
    <t>Projekt kezdete és vége</t>
  </si>
  <si>
    <t>Érintett intézmények</t>
  </si>
  <si>
    <t>2016. 12. 31-ig lehívott előleg összege</t>
  </si>
  <si>
    <t>2016. 12. 31-ig kiutalt összeg</t>
  </si>
  <si>
    <t>2016. 12.  31-ig felhasznált összeg</t>
  </si>
  <si>
    <t>2016. 12. 31-ig elszámolt összeg</t>
  </si>
  <si>
    <t>Kerépárút építése a (Rákóczi, Nagysándor József, Köteles, Mikszáth, Dobos, Kalmár Ilona sétány, Zilah, Baross, Vágóhíd, Emília, János, Török Fl. Topánka, Berkenyes sétány, Ady Endre, Bíró Mihály utcákat érintően)</t>
  </si>
  <si>
    <t>2016. 12. 31. előirányzat</t>
  </si>
  <si>
    <t>2017. 01. 01. előirányzat</t>
  </si>
  <si>
    <t>2017. 02. 01.  előirányzat</t>
  </si>
  <si>
    <t>2017. 03. 01.  előirányzat</t>
  </si>
  <si>
    <t>2017. 04. 01. előirányzat</t>
  </si>
  <si>
    <t>2017. 05. 01. előirányzat</t>
  </si>
  <si>
    <t>2017. 06. 01. előirányzat</t>
  </si>
  <si>
    <t>2017. 07. 01. előirányzat</t>
  </si>
  <si>
    <t>2017. 08. 01. előirányzat</t>
  </si>
  <si>
    <t>2017. 09. 01. előirányzat</t>
  </si>
  <si>
    <t>2017. 10. 01. előirányzat</t>
  </si>
  <si>
    <t>2017. 11. 01. előirányzat</t>
  </si>
  <si>
    <t>2017. 12. 01. előirányzat</t>
  </si>
  <si>
    <t>pedagógus szakképzettséggel nem rendelkező, óvodapedagógusok nevelő munkáját közvetlenül segítők száma a Köznev. Tv. 2. melléklete szerint</t>
  </si>
  <si>
    <t>pedagógus szakképzettséggel rendelkező, óvodapedagógusok nevelő munkáját közvetlenül segítők száma a Köznev. Tv. 2. melléklete szerint</t>
  </si>
  <si>
    <t>pedagógus szakképzettséggel rendelkező, óvodapedagógusok nevelő munkáját közvetlenül segítők pótlólagos támogatása</t>
  </si>
  <si>
    <t>Kiegészítő támogatás az óvodapedagógusok minősítéséből adódó többletkiadáshoz</t>
  </si>
  <si>
    <t>alapfokozatú végzettségű pedagógus II. kategóriába sorolt óvodapedagógusok kiegészítő támogatása - akik a minősítést 2015.12.31-éig szerezték meg</t>
  </si>
  <si>
    <t>alapfokozatú végzettségű mesterpedagógus kategóriába sorolt óvodapedagógusok kiegészítő támogatása - akik a minősítést 2015.12.31-éig szerezték meg</t>
  </si>
  <si>
    <t>Család- és gyermekjóléti központ</t>
  </si>
  <si>
    <t>Kiegészítő támogatás a bölcsődében, mini bölcsődében foglalkoztatott, felsőfokú végzettségű kisgyermeknevelők és szakemberek béréhez</t>
  </si>
  <si>
    <t>Könyvtári, közművelődési és múzeumi feladatok támogatása Főv.ker-i ök-ok közművelődési feladatainak támogatása</t>
  </si>
  <si>
    <t>Kiegészítő információ:</t>
  </si>
  <si>
    <t>Lakott közterülettel kapcsolatos feladatok támogatása</t>
  </si>
  <si>
    <t>Nem teljesült beszámítás/szolidaritási hozzájárulás alapja</t>
  </si>
  <si>
    <t xml:space="preserve">     3.2. Pesterzsébeti Polgárőrség</t>
  </si>
  <si>
    <t xml:space="preserve">     3.5. Pesterzsébeti Ring Sport Club</t>
  </si>
  <si>
    <t xml:space="preserve">     3.6. Pesterzsébet Közbiztonságáért Közalapítvány</t>
  </si>
  <si>
    <t xml:space="preserve">     3.7. Budapest Police Boksz Klub </t>
  </si>
  <si>
    <r>
      <t xml:space="preserve">     3.6. Civil szervezetek támogatása </t>
    </r>
    <r>
      <rPr>
        <b/>
        <sz val="12"/>
        <rFont val="Times New Roman"/>
        <family val="1"/>
      </rPr>
      <t>(felosztandó)</t>
    </r>
  </si>
  <si>
    <t xml:space="preserve">     3.3. ESMTK. Egyesület</t>
  </si>
  <si>
    <t xml:space="preserve">      1.2. XX. Kerületi Tűzoltóparancsnokság épülete körleteinek felújítása</t>
  </si>
  <si>
    <t xml:space="preserve">  1.1. Országos Mentősszolgálat XX. kerületi Mentőállomás</t>
  </si>
  <si>
    <t xml:space="preserve">  1.2. Keresztény Advent Közösség</t>
  </si>
  <si>
    <t xml:space="preserve">  1.3. Ovi-Foci Közhasznú Alapítvány </t>
  </si>
  <si>
    <t xml:space="preserve">     1.1. BRFK támogatása (XX. ker. Rendőrség)</t>
  </si>
  <si>
    <t xml:space="preserve">    9.7. Budapest Pesterzsébeti Ukrán Önkormányzat</t>
  </si>
  <si>
    <t xml:space="preserve">     3.1. Pesterzsébeti Polgári Lövészegylet</t>
  </si>
  <si>
    <t>Gyalogos híd tervezése (engedélyezési kiviteli) projekt előkészítő munkák</t>
  </si>
  <si>
    <r>
      <t>Köztemetés Szt. 48. §  (K48)</t>
    </r>
    <r>
      <rPr>
        <sz val="12"/>
        <rFont val="Times New Roman"/>
        <family val="1"/>
      </rPr>
      <t xml:space="preserve"> (nettó rész, áfa része dologi kiadások között)</t>
    </r>
  </si>
  <si>
    <r>
      <t>Karácsonyi ajándékcsomag (K48)</t>
    </r>
    <r>
      <rPr>
        <sz val="12"/>
        <rFont val="Times New Roman"/>
        <family val="1"/>
      </rPr>
      <t xml:space="preserve"> (nettó rész, áfa része dologi kiadások között)</t>
    </r>
  </si>
  <si>
    <t>III. Hullám Csónakház üzlethelyiség vendéglátó, szállás és rendezvényszervezés funkcióra való alkalmassá tétele</t>
  </si>
  <si>
    <r>
      <t>Fizikoterápiás készülékek beszerzése</t>
    </r>
    <r>
      <rPr>
        <sz val="12"/>
        <color indexed="60"/>
        <rFont val="Times New Roman"/>
        <family val="1"/>
      </rPr>
      <t xml:space="preserve"> ( Z1061124 áthúzódó)</t>
    </r>
  </si>
  <si>
    <r>
      <t xml:space="preserve">Betegszállító kocsi beszerzése </t>
    </r>
    <r>
      <rPr>
        <sz val="12"/>
        <color indexed="60"/>
        <rFont val="Times New Roman"/>
        <family val="1"/>
      </rPr>
      <t>(Z1061126 áthúzódó)</t>
    </r>
  </si>
  <si>
    <r>
      <t xml:space="preserve">Tungsgram-Schréder Kft. Hullám csónakház lámpatestek </t>
    </r>
    <r>
      <rPr>
        <sz val="12"/>
        <color indexed="60"/>
        <rFont val="Times New Roman"/>
        <family val="1"/>
      </rPr>
      <t>(Z1061166 áthúzódó)</t>
    </r>
  </si>
  <si>
    <r>
      <t>Vörösmarty u. 126. helyiség vizesblokk kialakítása</t>
    </r>
    <r>
      <rPr>
        <sz val="12"/>
        <color indexed="60"/>
        <rFont val="Times New Roman"/>
        <family val="1"/>
      </rPr>
      <t xml:space="preserve"> (Z1060841 áthúzódó)</t>
    </r>
  </si>
  <si>
    <r>
      <t>Ingatlanvásárlás</t>
    </r>
    <r>
      <rPr>
        <sz val="12"/>
        <color indexed="60"/>
        <rFont val="Arial CE"/>
        <family val="0"/>
      </rPr>
      <t xml:space="preserve"> /217/2016. (IX. 13.) GB. határozat Kende Kanuth u. 6. fsz. 5.  szám megvásárlása nem áfás, áthúzódó/</t>
    </r>
  </si>
  <si>
    <t>Játszószer kihelyezése közterületre</t>
  </si>
  <si>
    <t>Önkormányzati és intézményi ingatlanok kémény felújítás</t>
  </si>
  <si>
    <r>
      <t xml:space="preserve"> Csili színházterem átalakítási munkái</t>
    </r>
    <r>
      <rPr>
        <sz val="12"/>
        <color indexed="60"/>
        <rFont val="Times New Roman"/>
        <family val="1"/>
      </rPr>
      <t xml:space="preserve"> (Z1060449 áthúzódó)</t>
    </r>
  </si>
  <si>
    <r>
      <t xml:space="preserve">"A Pesterzsébeti Hullám csónakházak szabadidős és turisztikai célú komplex fejlesztése, II. ütem" TÉR_KÖZ pályázati támogatás+önrész 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(14 960 630 Ft + 4 039 370 Ft Áfa támogatás és  7 859 842 Ft +     2 122 158 Ft Áfa önrész)</t>
    </r>
  </si>
  <si>
    <t>Egyéb gépek berendezések</t>
  </si>
  <si>
    <t>Lakások felújítása</t>
  </si>
  <si>
    <t>Nem lakás célú helyiségek felújítása</t>
  </si>
  <si>
    <t>Közterületek felújítása</t>
  </si>
  <si>
    <t>1. Egyéb szociális és gyermekjóléti feladatok támogatása</t>
  </si>
  <si>
    <t>2. Pénzbeli szociális ellátások kiegészítése (lakásfenntartási támogatás)</t>
  </si>
  <si>
    <t>3. Szociális ágazati pótlék</t>
  </si>
  <si>
    <t>4. Szociális ágazati kiegészítő pótlék támogatása</t>
  </si>
  <si>
    <t xml:space="preserve">  2.2. "2016. évi Európai Mobilitási Hét és Autómentes Nap rendezvény" pályázati támogatás</t>
  </si>
  <si>
    <t>Települési önkormányzatok kulturális feladatainak támogatása</t>
  </si>
  <si>
    <t>Tulajdonosi bevétel</t>
  </si>
  <si>
    <t>Díjak, pótlékok, bírságok, települési adók</t>
  </si>
  <si>
    <t>Immateriális javak, ingatlanok és egyéb tárgyi eszközök értékesítése</t>
  </si>
  <si>
    <t>Privatizációból származó bevételek</t>
  </si>
  <si>
    <t>Garancia- és kezességvállalásból származó megtérülések</t>
  </si>
  <si>
    <t>Részesedések értékesítése és részesedések megszüntetéséhez kapcsolódó bevételek</t>
  </si>
  <si>
    <t>Összesítő az Önkormányzat 2017. évi bevételeiről és kiadásairól</t>
  </si>
  <si>
    <t>Pesterzsébet Önkormányzata 2017. évi összevont költségvetési mérlege (TÁJÉKOZTATÓ TÁBLA)</t>
  </si>
  <si>
    <t>2017. évre tervezett EU-s társfinanszírozással megvalósuló programok</t>
  </si>
  <si>
    <t>Pestezsébet Önkormányzatának 2017. évi költségvetési létszámkerete</t>
  </si>
  <si>
    <t>Pesterzsébet Önkormányzatának 2017. évi bevételei</t>
  </si>
  <si>
    <t>Pesterzsébet Önkormányzatának 2017. évi központi költségvetésből származó forrásai</t>
  </si>
  <si>
    <t>Pesterzsébet Önkormányzatának 2017. évi kiadásai</t>
  </si>
  <si>
    <t>Pesterzsébet Önkormányzatának 2017. évi átadott pénzeszközei</t>
  </si>
  <si>
    <t>Pesterzsébet Önkormányzatának 2017. évi céltartalékai és általános tartaléka</t>
  </si>
  <si>
    <t>Pesterzsébet Önkormányzatának 2017. évi beruházási kiadásai</t>
  </si>
  <si>
    <t>Pesterzsébet Önkormányzatának 2017. évi felújítási kiadásai</t>
  </si>
  <si>
    <t>Pesterzsébet Önkormányzata 2017. évi bevételi és kiadási előirányzatainak felhasználási terve (TÁJÉKOZTATÓ TÁBLA)</t>
  </si>
  <si>
    <t>Pesterzsébet Önkormányzata által nyújtott 2017. évi közvetett támogatások</t>
  </si>
  <si>
    <t>Pesterzsébet Önkormányzatának Polgármesteri Hivatala 2017. évi bevételei</t>
  </si>
  <si>
    <t>Pesterzsébet Önkormányzatának Polgármesteri Hivatala 2017. évi kiadásai</t>
  </si>
  <si>
    <t>Pesterzsébet Önkormányzatának Polgármesteri Hivatala 2017. évi céltartalékai és általános tartaléka</t>
  </si>
  <si>
    <t>Pesterzsébet Önkormányzat Polgármesteri Hivatala által folyósított, pénzben és természetben nyújtott szociális ellátások 2017. év</t>
  </si>
  <si>
    <t>Pesterzsébet Önkormányzatának Polgármesteri Hivatala 2017. évi beruházási kiadásai</t>
  </si>
  <si>
    <t>Pesterzsébet Önkormányzatának Polgármesteri Hivatala 2017 évi felújítási kiadásai</t>
  </si>
  <si>
    <t>Pesterzsébet Önkormányzata Polgármesteri Hivatalának 2017. évi bevételi és kiadási előirányzatainak felhasználási terve (TÁJÉKOZTATÓ TÁBLA)</t>
  </si>
  <si>
    <t>Intézményi összesítő 2017. évi bevételei és kiadásai</t>
  </si>
  <si>
    <t>Pesterzsébet Önkormányzatának Humán Szolgáltatások Intézménye 2017. évi bevételei és kiadásai</t>
  </si>
  <si>
    <t>Pesterzsébet Önkormányzatának Szociális Foglalkoztatója 2017. évi bevételei és kiadásai</t>
  </si>
  <si>
    <t>Pesterzsébet Önkormányzatának Szociális Foglalkoztatója 2017. évi beruházási kiadásai</t>
  </si>
  <si>
    <t>Csili Művelődési Központ 2017. évi bevételei és kiadásai</t>
  </si>
  <si>
    <t>Csili Művelődési Központ 2017. évi beruházási kiadásai</t>
  </si>
  <si>
    <t>Pesterzsébeti Múzeum 2017.  évi bevételei és kiadásai</t>
  </si>
  <si>
    <t>Pesterzsébeti Múzeum 2017.  évi beruházási kiadásai</t>
  </si>
  <si>
    <t>Pesterzsébeti Nemzetiségi kétnyelvű Baross Óvoda Kindergarten Baross 2017. évi bevételei és kiadásai</t>
  </si>
  <si>
    <t>Pesterzsébeti Nemzetiségi kétnyelvű Baross Óvoda Kindergarten Baross 2017. évi beruházási kiadásai</t>
  </si>
  <si>
    <t>Pesterzsébeti Gézengúz Óvoda 2017 évi bevételei és kiadásai</t>
  </si>
  <si>
    <t>Pesterzsébeti Gézengúz Óvoda 2017. évi beruházási kiadásai</t>
  </si>
  <si>
    <t>Pesterzsébeti Lurkóház Óvoda 2017. évi bevételei és kiadásai</t>
  </si>
  <si>
    <t>Pesterzsébeti Lurkóház Óvoda 2017. évi beruházási kiadásai</t>
  </si>
  <si>
    <t>Pesterzsébeti Nyitnikék Óvoda 2017. évi bevételei és kiadásai</t>
  </si>
  <si>
    <t>Pesterzsébeti Nyitnikék Óvoda 2017. évi beruházási kiadásai</t>
  </si>
  <si>
    <t>Pestezsébeti Gyermekmosoly Óvoda 2017. évi bevételei és kiadásai</t>
  </si>
  <si>
    <t>Pestezsébeti Gyermekmosoly Óvoda 2017. évi beruházási kiadásai</t>
  </si>
  <si>
    <t>Pesterzsébeti Kerekerdő Óvoda 2017. évi bevételei és kiadásai</t>
  </si>
  <si>
    <t>Pesterzsébeti Kerekerdő Óvoda 2017. évi beruházási kiadásai</t>
  </si>
  <si>
    <t>GAMESZ 2017. évi bevételei és kiadásai</t>
  </si>
  <si>
    <t>GAMESZ 2017. évi beruházási kiadásai</t>
  </si>
  <si>
    <t xml:space="preserve">Intézmények 2017. évi bevételi és kiadási előirányzatainak felhasználási terve </t>
  </si>
  <si>
    <t>Intézmények által nyújtott 2017. évi közvetett támogatások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</si>
</sst>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0.0"/>
    <numFmt numFmtId="171" formatCode="0.00000000"/>
    <numFmt numFmtId="172" formatCode="0.000000000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\ _F_t_-;\-* #,##0.000\ _F_t_-;_-* &quot;-&quot;??\ _F_t_-;_-@_-"/>
    <numFmt numFmtId="176" formatCode="m\.\ d\."/>
    <numFmt numFmtId="177" formatCode="#,##0.0"/>
    <numFmt numFmtId="178" formatCode="&quot;Tartozik&quot;\ #,##0"/>
    <numFmt numFmtId="179" formatCode="General&quot;.&quot;"/>
    <numFmt numFmtId="180" formatCode="General&quot;. mell.&quot;"/>
    <numFmt numFmtId="181" formatCode="&quot;Előző+mód.-aktuális mód. eltérés van? &quot;General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0.00&quot;%&quot;"/>
    <numFmt numFmtId="186" formatCode="0.0&quot;%&quot;"/>
    <numFmt numFmtId="187" formatCode="#,##0.000"/>
    <numFmt numFmtId="188" formatCode="#,##0.0000"/>
    <numFmt numFmtId="189" formatCode="@&quot;.&quot;"/>
    <numFmt numFmtId="190" formatCode="_-* #,##0.0000\ _F_t_-;\-* #,##0.0000\ _F_t_-;_-* &quot;-&quot;??\ _F_t_-;_-@_-"/>
    <numFmt numFmtId="191" formatCode="[$-40E]yyyy\.\ mmmm\ d\."/>
    <numFmt numFmtId="192" formatCode="#,##0.00_ ;\-#,##0.00\ "/>
    <numFmt numFmtId="193" formatCode="#,##0.000_ ;\-#,##0.000\ "/>
    <numFmt numFmtId="194" formatCode="#,##0.0_ ;\-#,##0.0\ "/>
    <numFmt numFmtId="195" formatCode="#,##0_ ;\-#,##0\ "/>
    <numFmt numFmtId="196" formatCode="General_)"/>
    <numFmt numFmtId="197" formatCode="#,##0_ ;[Red]\-#,##0\ "/>
    <numFmt numFmtId="198" formatCode="#,##0;[Red]\-#,##0;;\ "/>
    <numFmt numFmtId="199" formatCode="#,##0,;[Red]\-#,##0;;\ "/>
    <numFmt numFmtId="200" formatCode="_-* #,##0.0\ _F_t_-;\-* #,##0.0\ _F_t_-;_-* &quot;-&quot;?\ _F_t_-;_-@_-"/>
    <numFmt numFmtId="201" formatCode="#,##0\ &quot;Ft&quot;"/>
    <numFmt numFmtId="202" formatCode="#,##0.0_ ;[Red]\-#,##0.0\ "/>
  </numFmts>
  <fonts count="10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MS Sans Serif"/>
      <family val="2"/>
    </font>
    <font>
      <sz val="9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i/>
      <sz val="10"/>
      <name val="Times New Roman"/>
      <family val="1"/>
    </font>
    <font>
      <b/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sz val="10"/>
      <color indexed="10"/>
      <name val="Times New Roman CE"/>
      <family val="1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b/>
      <sz val="10"/>
      <color indexed="12"/>
      <name val="MS Sans Serif"/>
      <family val="2"/>
    </font>
    <font>
      <sz val="10"/>
      <color indexed="12"/>
      <name val="MS Sans Serif"/>
      <family val="2"/>
    </font>
    <font>
      <i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b/>
      <sz val="11"/>
      <name val="Times New Roman CE"/>
      <family val="1"/>
    </font>
    <font>
      <b/>
      <u val="single"/>
      <sz val="10"/>
      <name val="Times New Roman"/>
      <family val="1"/>
    </font>
    <font>
      <b/>
      <sz val="24"/>
      <name val="MS Sans Serif"/>
      <family val="2"/>
    </font>
    <font>
      <b/>
      <sz val="10"/>
      <name val="KerszTimes"/>
      <family val="0"/>
    </font>
    <font>
      <i/>
      <sz val="10"/>
      <name val="KerszTimes"/>
      <family val="0"/>
    </font>
    <font>
      <sz val="10"/>
      <name val="KerszTimes"/>
      <family val="0"/>
    </font>
    <font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KerszTimes"/>
      <family val="0"/>
    </font>
    <font>
      <i/>
      <sz val="12"/>
      <name val="KerszTimes"/>
      <family val="0"/>
    </font>
    <font>
      <b/>
      <i/>
      <sz val="12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sz val="12"/>
      <name val="MS Sans Serif"/>
      <family val="2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i/>
      <sz val="11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sz val="12"/>
      <name val="KerszTimes"/>
      <family val="0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b/>
      <i/>
      <sz val="12"/>
      <name val="KerszTimes"/>
      <family val="0"/>
    </font>
    <font>
      <sz val="12"/>
      <color indexed="60"/>
      <name val="Arial CE"/>
      <family val="0"/>
    </font>
    <font>
      <sz val="10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MS Sans Serif"/>
      <family val="0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8"/>
      <name val="MS Sans Serif"/>
      <family val="2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ck"/>
      <right style="thin"/>
      <top style="medium"/>
      <bottom style="medium"/>
    </border>
    <border>
      <left style="thick"/>
      <right style="thin"/>
      <top style="medium"/>
      <bottom style="hair"/>
    </border>
    <border>
      <left style="thick"/>
      <right style="thin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5" fillId="26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0" fillId="28" borderId="7" applyNumberFormat="0" applyFont="0" applyAlignment="0" applyProtection="0"/>
    <xf numFmtId="0" fontId="93" fillId="29" borderId="0" applyNumberFormat="0" applyBorder="0" applyAlignment="0" applyProtection="0"/>
    <xf numFmtId="0" fontId="94" fillId="30" borderId="8" applyNumberFormat="0" applyAlignment="0" applyProtection="0"/>
    <xf numFmtId="0" fontId="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98" fillId="32" borderId="0" applyNumberFormat="0" applyBorder="0" applyAlignment="0" applyProtection="0"/>
    <xf numFmtId="0" fontId="99" fillId="30" borderId="1" applyNumberFormat="0" applyAlignment="0" applyProtection="0"/>
    <xf numFmtId="9" fontId="0" fillId="0" borderId="0" applyFont="0" applyFill="0" applyBorder="0" applyAlignment="0" applyProtection="0"/>
  </cellStyleXfs>
  <cellXfs count="19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right"/>
    </xf>
    <xf numFmtId="174" fontId="1" fillId="0" borderId="0" xfId="46" applyNumberFormat="1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174" fontId="0" fillId="0" borderId="0" xfId="46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74" fontId="0" fillId="0" borderId="0" xfId="0" applyNumberFormat="1" applyBorder="1" applyAlignment="1">
      <alignment/>
    </xf>
    <xf numFmtId="174" fontId="0" fillId="0" borderId="0" xfId="0" applyNumberFormat="1" applyFont="1" applyBorder="1" applyAlignment="1">
      <alignment/>
    </xf>
    <xf numFmtId="174" fontId="0" fillId="0" borderId="0" xfId="46" applyNumberFormat="1" applyFon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1" fillId="0" borderId="10" xfId="46" applyNumberFormat="1" applyFont="1" applyBorder="1" applyAlignment="1">
      <alignment horizontal="right"/>
    </xf>
    <xf numFmtId="3" fontId="1" fillId="0" borderId="22" xfId="46" applyNumberFormat="1" applyFont="1" applyBorder="1" applyAlignment="1">
      <alignment horizontal="right"/>
    </xf>
    <xf numFmtId="3" fontId="0" fillId="0" borderId="23" xfId="46" applyNumberFormat="1" applyFont="1" applyBorder="1" applyAlignment="1">
      <alignment horizontal="right"/>
    </xf>
    <xf numFmtId="3" fontId="1" fillId="0" borderId="11" xfId="46" applyNumberFormat="1" applyFont="1" applyBorder="1" applyAlignment="1">
      <alignment horizontal="right"/>
    </xf>
    <xf numFmtId="3" fontId="0" fillId="0" borderId="23" xfId="46" applyNumberFormat="1" applyFont="1" applyBorder="1" applyAlignment="1">
      <alignment horizontal="right"/>
    </xf>
    <xf numFmtId="3" fontId="0" fillId="0" borderId="11" xfId="46" applyNumberFormat="1" applyFont="1" applyBorder="1" applyAlignment="1">
      <alignment horizontal="right"/>
    </xf>
    <xf numFmtId="3" fontId="1" fillId="0" borderId="11" xfId="46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24" xfId="46" applyNumberFormat="1" applyFont="1" applyBorder="1" applyAlignment="1">
      <alignment horizontal="right"/>
    </xf>
    <xf numFmtId="3" fontId="0" fillId="0" borderId="22" xfId="46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1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1" fontId="4" fillId="0" borderId="28" xfId="0" applyNumberFormat="1" applyFont="1" applyBorder="1" applyAlignment="1">
      <alignment horizontal="right"/>
    </xf>
    <xf numFmtId="1" fontId="5" fillId="0" borderId="28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170" fontId="4" fillId="0" borderId="28" xfId="0" applyNumberFormat="1" applyFont="1" applyBorder="1" applyAlignment="1">
      <alignment horizontal="right"/>
    </xf>
    <xf numFmtId="170" fontId="5" fillId="0" borderId="28" xfId="0" applyNumberFormat="1" applyFont="1" applyBorder="1" applyAlignment="1">
      <alignment horizontal="right"/>
    </xf>
    <xf numFmtId="170" fontId="4" fillId="0" borderId="32" xfId="0" applyNumberFormat="1" applyFont="1" applyBorder="1" applyAlignment="1">
      <alignment horizontal="right"/>
    </xf>
    <xf numFmtId="170" fontId="4" fillId="0" borderId="29" xfId="0" applyNumberFormat="1" applyFont="1" applyBorder="1" applyAlignment="1">
      <alignment horizontal="right"/>
    </xf>
    <xf numFmtId="3" fontId="0" fillId="0" borderId="24" xfId="46" applyNumberFormat="1" applyFont="1" applyBorder="1" applyAlignment="1">
      <alignment horizontal="right"/>
    </xf>
    <xf numFmtId="3" fontId="0" fillId="0" borderId="22" xfId="46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8" fillId="0" borderId="0" xfId="0" applyFont="1" applyAlignment="1">
      <alignment vertical="center" wrapText="1"/>
    </xf>
    <xf numFmtId="3" fontId="9" fillId="0" borderId="36" xfId="0" applyNumberFormat="1" applyFont="1" applyBorder="1" applyAlignment="1">
      <alignment/>
    </xf>
    <xf numFmtId="0" fontId="9" fillId="0" borderId="37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3" fontId="11" fillId="0" borderId="38" xfId="0" applyNumberFormat="1" applyFont="1" applyBorder="1" applyAlignment="1">
      <alignment vertical="center" wrapText="1"/>
    </xf>
    <xf numFmtId="0" fontId="8" fillId="0" borderId="39" xfId="0" applyFont="1" applyBorder="1" applyAlignment="1">
      <alignment/>
    </xf>
    <xf numFmtId="0" fontId="8" fillId="0" borderId="3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3" fontId="13" fillId="0" borderId="26" xfId="0" applyNumberFormat="1" applyFont="1" applyBorder="1" applyAlignment="1">
      <alignment vertical="center" wrapText="1"/>
    </xf>
    <xf numFmtId="3" fontId="15" fillId="0" borderId="37" xfId="0" applyNumberFormat="1" applyFont="1" applyBorder="1" applyAlignment="1">
      <alignment horizontal="centerContinuous" vertical="center" wrapText="1"/>
    </xf>
    <xf numFmtId="3" fontId="15" fillId="0" borderId="40" xfId="0" applyNumberFormat="1" applyFont="1" applyBorder="1" applyAlignment="1">
      <alignment horizontal="centerContinuous" vertical="center" wrapText="1"/>
    </xf>
    <xf numFmtId="3" fontId="15" fillId="0" borderId="41" xfId="0" applyNumberFormat="1" applyFont="1" applyBorder="1" applyAlignment="1">
      <alignment horizontal="centerContinuous" vertical="center" wrapText="1"/>
    </xf>
    <xf numFmtId="3" fontId="13" fillId="0" borderId="28" xfId="0" applyNumberFormat="1" applyFont="1" applyBorder="1" applyAlignment="1">
      <alignment horizontal="center" vertical="center" wrapText="1"/>
    </xf>
    <xf numFmtId="3" fontId="15" fillId="0" borderId="42" xfId="0" applyNumberFormat="1" applyFont="1" applyBorder="1" applyAlignment="1">
      <alignment horizontal="center" vertical="center" wrapText="1"/>
    </xf>
    <xf numFmtId="3" fontId="15" fillId="0" borderId="43" xfId="0" applyNumberFormat="1" applyFont="1" applyBorder="1" applyAlignment="1">
      <alignment horizontal="center" vertical="center" wrapText="1"/>
    </xf>
    <xf numFmtId="3" fontId="15" fillId="33" borderId="44" xfId="0" applyNumberFormat="1" applyFont="1" applyFill="1" applyBorder="1" applyAlignment="1">
      <alignment horizontal="center" vertical="center" wrapText="1"/>
    </xf>
    <xf numFmtId="3" fontId="17" fillId="0" borderId="41" xfId="0" applyNumberFormat="1" applyFont="1" applyBorder="1" applyAlignment="1">
      <alignment vertical="center" wrapText="1"/>
    </xf>
    <xf numFmtId="3" fontId="17" fillId="0" borderId="42" xfId="0" applyNumberFormat="1" applyFont="1" applyBorder="1" applyAlignment="1">
      <alignment horizontal="right" vertical="center" wrapText="1"/>
    </xf>
    <xf numFmtId="3" fontId="17" fillId="0" borderId="43" xfId="0" applyNumberFormat="1" applyFont="1" applyBorder="1" applyAlignment="1">
      <alignment horizontal="right" vertical="center" wrapText="1"/>
    </xf>
    <xf numFmtId="3" fontId="17" fillId="33" borderId="44" xfId="0" applyNumberFormat="1" applyFont="1" applyFill="1" applyBorder="1" applyAlignment="1">
      <alignment horizontal="right" vertical="center" wrapText="1"/>
    </xf>
    <xf numFmtId="3" fontId="17" fillId="0" borderId="45" xfId="0" applyNumberFormat="1" applyFont="1" applyBorder="1" applyAlignment="1">
      <alignment vertical="center" wrapText="1"/>
    </xf>
    <xf numFmtId="3" fontId="17" fillId="0" borderId="46" xfId="0" applyNumberFormat="1" applyFont="1" applyBorder="1" applyAlignment="1">
      <alignment horizontal="right" vertical="center" wrapText="1"/>
    </xf>
    <xf numFmtId="3" fontId="17" fillId="0" borderId="47" xfId="0" applyNumberFormat="1" applyFont="1" applyBorder="1" applyAlignment="1">
      <alignment horizontal="right" vertical="center" wrapText="1"/>
    </xf>
    <xf numFmtId="3" fontId="17" fillId="33" borderId="48" xfId="0" applyNumberFormat="1" applyFont="1" applyFill="1" applyBorder="1" applyAlignment="1">
      <alignment horizontal="right" vertical="center" wrapText="1"/>
    </xf>
    <xf numFmtId="3" fontId="17" fillId="0" borderId="30" xfId="0" applyNumberFormat="1" applyFont="1" applyBorder="1" applyAlignment="1">
      <alignment vertical="center" wrapText="1"/>
    </xf>
    <xf numFmtId="3" fontId="17" fillId="0" borderId="49" xfId="0" applyNumberFormat="1" applyFont="1" applyBorder="1" applyAlignment="1">
      <alignment horizontal="right" vertical="center"/>
    </xf>
    <xf numFmtId="3" fontId="17" fillId="0" borderId="50" xfId="0" applyNumberFormat="1" applyFont="1" applyBorder="1" applyAlignment="1">
      <alignment horizontal="right" vertical="center"/>
    </xf>
    <xf numFmtId="3" fontId="17" fillId="33" borderId="51" xfId="0" applyNumberFormat="1" applyFont="1" applyFill="1" applyBorder="1" applyAlignment="1">
      <alignment horizontal="right" vertical="center" wrapText="1"/>
    </xf>
    <xf numFmtId="3" fontId="13" fillId="0" borderId="30" xfId="0" applyNumberFormat="1" applyFont="1" applyBorder="1" applyAlignment="1">
      <alignment vertical="center" wrapText="1"/>
    </xf>
    <xf numFmtId="3" fontId="13" fillId="0" borderId="52" xfId="0" applyNumberFormat="1" applyFont="1" applyBorder="1" applyAlignment="1">
      <alignment horizontal="right" vertical="center"/>
    </xf>
    <xf numFmtId="3" fontId="13" fillId="0" borderId="53" xfId="0" applyNumberFormat="1" applyFont="1" applyBorder="1" applyAlignment="1">
      <alignment horizontal="right" vertical="center"/>
    </xf>
    <xf numFmtId="3" fontId="13" fillId="33" borderId="51" xfId="0" applyNumberFormat="1" applyFont="1" applyFill="1" applyBorder="1" applyAlignment="1">
      <alignment horizontal="right" vertical="center" wrapText="1"/>
    </xf>
    <xf numFmtId="3" fontId="13" fillId="0" borderId="52" xfId="0" applyNumberFormat="1" applyFont="1" applyBorder="1" applyAlignment="1">
      <alignment horizontal="right" vertical="center" wrapText="1"/>
    </xf>
    <xf numFmtId="3" fontId="13" fillId="0" borderId="53" xfId="0" applyNumberFormat="1" applyFont="1" applyBorder="1" applyAlignment="1">
      <alignment horizontal="right" vertical="center" wrapText="1"/>
    </xf>
    <xf numFmtId="3" fontId="18" fillId="0" borderId="30" xfId="0" applyNumberFormat="1" applyFont="1" applyBorder="1" applyAlignment="1">
      <alignment vertical="center" wrapText="1"/>
    </xf>
    <xf numFmtId="3" fontId="18" fillId="0" borderId="52" xfId="0" applyNumberFormat="1" applyFont="1" applyBorder="1" applyAlignment="1">
      <alignment horizontal="right" vertical="center"/>
    </xf>
    <xf numFmtId="3" fontId="18" fillId="0" borderId="53" xfId="0" applyNumberFormat="1" applyFont="1" applyBorder="1" applyAlignment="1">
      <alignment horizontal="right" vertical="center"/>
    </xf>
    <xf numFmtId="3" fontId="18" fillId="33" borderId="51" xfId="0" applyNumberFormat="1" applyFont="1" applyFill="1" applyBorder="1" applyAlignment="1">
      <alignment horizontal="right" vertical="center" wrapText="1"/>
    </xf>
    <xf numFmtId="3" fontId="18" fillId="0" borderId="52" xfId="0" applyNumberFormat="1" applyFont="1" applyBorder="1" applyAlignment="1">
      <alignment horizontal="right" vertical="center" wrapText="1"/>
    </xf>
    <xf numFmtId="3" fontId="18" fillId="0" borderId="53" xfId="0" applyNumberFormat="1" applyFont="1" applyBorder="1" applyAlignment="1">
      <alignment horizontal="right" vertical="center" wrapText="1"/>
    </xf>
    <xf numFmtId="3" fontId="17" fillId="0" borderId="52" xfId="0" applyNumberFormat="1" applyFont="1" applyBorder="1" applyAlignment="1">
      <alignment horizontal="right" vertical="center"/>
    </xf>
    <xf numFmtId="3" fontId="17" fillId="0" borderId="53" xfId="0" applyNumberFormat="1" applyFont="1" applyBorder="1" applyAlignment="1">
      <alignment horizontal="right" vertical="center"/>
    </xf>
    <xf numFmtId="3" fontId="17" fillId="0" borderId="52" xfId="0" applyNumberFormat="1" applyFont="1" applyBorder="1" applyAlignment="1">
      <alignment horizontal="right" vertical="center" wrapText="1"/>
    </xf>
    <xf numFmtId="3" fontId="17" fillId="0" borderId="53" xfId="0" applyNumberFormat="1" applyFont="1" applyBorder="1" applyAlignment="1">
      <alignment horizontal="right" vertical="center" wrapText="1"/>
    </xf>
    <xf numFmtId="3" fontId="13" fillId="0" borderId="29" xfId="0" applyNumberFormat="1" applyFont="1" applyBorder="1" applyAlignment="1">
      <alignment vertical="center" wrapText="1"/>
    </xf>
    <xf numFmtId="3" fontId="13" fillId="0" borderId="54" xfId="0" applyNumberFormat="1" applyFont="1" applyBorder="1" applyAlignment="1">
      <alignment horizontal="right" vertical="center" wrapText="1"/>
    </xf>
    <xf numFmtId="3" fontId="13" fillId="0" borderId="55" xfId="0" applyNumberFormat="1" applyFont="1" applyBorder="1" applyAlignment="1">
      <alignment horizontal="right" vertical="center" wrapText="1"/>
    </xf>
    <xf numFmtId="3" fontId="13" fillId="33" borderId="56" xfId="0" applyNumberFormat="1" applyFont="1" applyFill="1" applyBorder="1" applyAlignment="1">
      <alignment horizontal="right" vertical="center" wrapText="1"/>
    </xf>
    <xf numFmtId="3" fontId="15" fillId="0" borderId="36" xfId="0" applyNumberFormat="1" applyFont="1" applyBorder="1" applyAlignment="1">
      <alignment vertical="center" wrapText="1"/>
    </xf>
    <xf numFmtId="3" fontId="15" fillId="0" borderId="42" xfId="0" applyNumberFormat="1" applyFont="1" applyBorder="1" applyAlignment="1">
      <alignment horizontal="right" vertical="center" wrapText="1"/>
    </xf>
    <xf numFmtId="3" fontId="15" fillId="0" borderId="43" xfId="0" applyNumberFormat="1" applyFont="1" applyBorder="1" applyAlignment="1">
      <alignment horizontal="right" vertical="center" wrapText="1"/>
    </xf>
    <xf numFmtId="3" fontId="15" fillId="33" borderId="44" xfId="0" applyNumberFormat="1" applyFont="1" applyFill="1" applyBorder="1" applyAlignment="1">
      <alignment horizontal="right" vertical="center" wrapText="1"/>
    </xf>
    <xf numFmtId="3" fontId="15" fillId="0" borderId="42" xfId="0" applyNumberFormat="1" applyFont="1" applyBorder="1" applyAlignment="1">
      <alignment horizontal="right" vertical="center"/>
    </xf>
    <xf numFmtId="3" fontId="15" fillId="0" borderId="43" xfId="0" applyNumberFormat="1" applyFont="1" applyBorder="1" applyAlignment="1">
      <alignment horizontal="right" vertical="center"/>
    </xf>
    <xf numFmtId="3" fontId="15" fillId="33" borderId="44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17" fillId="0" borderId="0" xfId="0" applyNumberFormat="1" applyFont="1" applyBorder="1" applyAlignment="1">
      <alignment vertical="center" wrapText="1"/>
    </xf>
    <xf numFmtId="3" fontId="17" fillId="0" borderId="0" xfId="0" applyNumberFormat="1" applyFont="1" applyAlignment="1">
      <alignment vertical="center" wrapText="1"/>
    </xf>
    <xf numFmtId="3" fontId="18" fillId="0" borderId="0" xfId="0" applyNumberFormat="1" applyFont="1" applyBorder="1" applyAlignment="1">
      <alignment vertical="center" wrapText="1"/>
    </xf>
    <xf numFmtId="3" fontId="18" fillId="0" borderId="0" xfId="0" applyNumberFormat="1" applyFont="1" applyAlignment="1">
      <alignment vertical="center" wrapText="1"/>
    </xf>
    <xf numFmtId="3" fontId="15" fillId="0" borderId="0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9" fillId="0" borderId="57" xfId="0" applyNumberFormat="1" applyFont="1" applyBorder="1" applyAlignment="1">
      <alignment vertical="center"/>
    </xf>
    <xf numFmtId="0" fontId="13" fillId="0" borderId="0" xfId="72" applyFont="1">
      <alignment/>
      <protection/>
    </xf>
    <xf numFmtId="0" fontId="13" fillId="0" borderId="12" xfId="72" applyFont="1" applyBorder="1">
      <alignment/>
      <protection/>
    </xf>
    <xf numFmtId="3" fontId="11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3" fontId="15" fillId="0" borderId="24" xfId="59" applyNumberFormat="1" applyFont="1" applyBorder="1" applyAlignment="1">
      <alignment horizontal="center" vertical="center" wrapText="1"/>
      <protection/>
    </xf>
    <xf numFmtId="3" fontId="2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 wrapText="1"/>
    </xf>
    <xf numFmtId="3" fontId="15" fillId="0" borderId="11" xfId="59" applyNumberFormat="1" applyFont="1" applyBorder="1" applyAlignment="1">
      <alignment horizontal="center" vertical="center" wrapText="1"/>
      <protection/>
    </xf>
    <xf numFmtId="18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3" fontId="24" fillId="0" borderId="0" xfId="0" applyNumberFormat="1" applyFont="1" applyAlignment="1">
      <alignment/>
    </xf>
    <xf numFmtId="180" fontId="24" fillId="0" borderId="0" xfId="0" applyNumberFormat="1" applyFont="1" applyAlignment="1">
      <alignment/>
    </xf>
    <xf numFmtId="180" fontId="24" fillId="0" borderId="0" xfId="0" applyNumberFormat="1" applyFont="1" applyAlignment="1">
      <alignment horizontal="right"/>
    </xf>
    <xf numFmtId="179" fontId="13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3" fillId="0" borderId="0" xfId="72" applyFont="1" applyBorder="1">
      <alignment/>
      <protection/>
    </xf>
    <xf numFmtId="0" fontId="13" fillId="0" borderId="0" xfId="72" applyFont="1" applyBorder="1" applyAlignment="1">
      <alignment wrapText="1"/>
      <protection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3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vertical="center" shrinkToFit="1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shrinkToFit="1"/>
    </xf>
    <xf numFmtId="0" fontId="20" fillId="0" borderId="0" xfId="0" applyFont="1" applyBorder="1" applyAlignment="1">
      <alignment horizontal="right"/>
    </xf>
    <xf numFmtId="179" fontId="13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8" fillId="0" borderId="0" xfId="0" applyFont="1" applyBorder="1" applyAlignment="1">
      <alignment horizontal="right" shrinkToFit="1"/>
    </xf>
    <xf numFmtId="0" fontId="9" fillId="0" borderId="0" xfId="0" applyFont="1" applyBorder="1" applyAlignment="1">
      <alignment horizontal="center" shrinkToFit="1"/>
    </xf>
    <xf numFmtId="3" fontId="8" fillId="0" borderId="0" xfId="0" applyNumberFormat="1" applyFont="1" applyBorder="1" applyAlignment="1">
      <alignment wrapText="1"/>
    </xf>
    <xf numFmtId="3" fontId="13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 shrinkToFit="1"/>
    </xf>
    <xf numFmtId="0" fontId="8" fillId="0" borderId="0" xfId="0" applyFont="1" applyBorder="1" applyAlignment="1">
      <alignment horizontal="right" wrapText="1" shrinkToFit="1"/>
    </xf>
    <xf numFmtId="17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79" fontId="20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horizontal="right" vertical="center"/>
    </xf>
    <xf numFmtId="3" fontId="13" fillId="0" borderId="0" xfId="59" applyNumberFormat="1" applyFont="1" applyBorder="1" applyAlignment="1">
      <alignment horizontal="right" vertical="center" wrapText="1"/>
      <protection/>
    </xf>
    <xf numFmtId="3" fontId="15" fillId="0" borderId="0" xfId="59" applyNumberFormat="1" applyFont="1" applyBorder="1" applyAlignment="1">
      <alignment horizontal="center" vertical="center" wrapText="1"/>
      <protection/>
    </xf>
    <xf numFmtId="3" fontId="13" fillId="0" borderId="0" xfId="59" applyNumberFormat="1" applyFont="1" applyBorder="1" applyAlignment="1">
      <alignment vertical="center" wrapText="1"/>
      <protection/>
    </xf>
    <xf numFmtId="3" fontId="13" fillId="0" borderId="0" xfId="0" applyNumberFormat="1" applyFont="1" applyBorder="1" applyAlignment="1">
      <alignment wrapText="1" shrinkToFit="1"/>
    </xf>
    <xf numFmtId="0" fontId="14" fillId="0" borderId="0" xfId="0" applyFont="1" applyBorder="1" applyAlignment="1">
      <alignment wrapText="1"/>
    </xf>
    <xf numFmtId="179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79" fontId="21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shrinkToFit="1"/>
    </xf>
    <xf numFmtId="3" fontId="13" fillId="0" borderId="0" xfId="59" applyNumberFormat="1" applyFont="1" applyBorder="1" applyAlignment="1">
      <alignment vertical="center" wrapText="1"/>
      <protection/>
    </xf>
    <xf numFmtId="3" fontId="13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3" fontId="15" fillId="0" borderId="0" xfId="59" applyNumberFormat="1" applyFont="1" applyBorder="1" applyAlignment="1">
      <alignment horizontal="right" vertical="center" wrapText="1"/>
      <protection/>
    </xf>
    <xf numFmtId="3" fontId="11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vertical="center" shrinkToFit="1"/>
    </xf>
    <xf numFmtId="3" fontId="10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13" fillId="0" borderId="0" xfId="72" applyFont="1" applyBorder="1" applyAlignment="1">
      <alignment shrinkToFit="1"/>
      <protection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3" fontId="11" fillId="0" borderId="0" xfId="0" applyNumberFormat="1" applyFont="1" applyBorder="1" applyAlignment="1">
      <alignment vertical="center" wrapText="1" shrinkToFit="1"/>
    </xf>
    <xf numFmtId="3" fontId="11" fillId="0" borderId="0" xfId="0" applyNumberFormat="1" applyFont="1" applyBorder="1" applyAlignment="1">
      <alignment vertical="center" wrapText="1"/>
    </xf>
    <xf numFmtId="16" fontId="13" fillId="0" borderId="0" xfId="0" applyNumberFormat="1" applyFont="1" applyBorder="1" applyAlignment="1">
      <alignment/>
    </xf>
    <xf numFmtId="0" fontId="13" fillId="0" borderId="12" xfId="72" applyFont="1" applyBorder="1" applyAlignment="1">
      <alignment wrapText="1"/>
      <protection/>
    </xf>
    <xf numFmtId="0" fontId="13" fillId="0" borderId="58" xfId="0" applyFont="1" applyBorder="1" applyAlignment="1">
      <alignment/>
    </xf>
    <xf numFmtId="179" fontId="13" fillId="0" borderId="58" xfId="0" applyNumberFormat="1" applyFont="1" applyBorder="1" applyAlignment="1">
      <alignment/>
    </xf>
    <xf numFmtId="49" fontId="13" fillId="0" borderId="58" xfId="0" applyNumberFormat="1" applyFont="1" applyBorder="1" applyAlignment="1">
      <alignment/>
    </xf>
    <xf numFmtId="16" fontId="13" fillId="0" borderId="58" xfId="0" applyNumberFormat="1" applyFont="1" applyBorder="1" applyAlignment="1">
      <alignment/>
    </xf>
    <xf numFmtId="0" fontId="13" fillId="0" borderId="58" xfId="0" applyFont="1" applyBorder="1" applyAlignment="1">
      <alignment horizontal="right"/>
    </xf>
    <xf numFmtId="0" fontId="13" fillId="0" borderId="58" xfId="72" applyFont="1" applyBorder="1" applyAlignment="1">
      <alignment wrapText="1"/>
      <protection/>
    </xf>
    <xf numFmtId="3" fontId="13" fillId="0" borderId="58" xfId="0" applyNumberFormat="1" applyFont="1" applyBorder="1" applyAlignment="1">
      <alignment/>
    </xf>
    <xf numFmtId="3" fontId="13" fillId="0" borderId="58" xfId="0" applyNumberFormat="1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36" xfId="0" applyFont="1" applyBorder="1" applyAlignment="1">
      <alignment horizontal="left"/>
    </xf>
    <xf numFmtId="3" fontId="8" fillId="0" borderId="39" xfId="0" applyNumberFormat="1" applyFont="1" applyBorder="1" applyAlignment="1">
      <alignment/>
    </xf>
    <xf numFmtId="174" fontId="8" fillId="0" borderId="0" xfId="46" applyNumberFormat="1" applyFont="1" applyAlignment="1">
      <alignment horizontal="right" vertical="center" wrapText="1"/>
    </xf>
    <xf numFmtId="3" fontId="8" fillId="0" borderId="27" xfId="0" applyNumberFormat="1" applyFont="1" applyBorder="1" applyAlignment="1">
      <alignment/>
    </xf>
    <xf numFmtId="174" fontId="8" fillId="0" borderId="0" xfId="46" applyNumberFormat="1" applyFont="1" applyBorder="1" applyAlignment="1">
      <alignment horizontal="right" vertical="center" wrapText="1"/>
    </xf>
    <xf numFmtId="0" fontId="15" fillId="0" borderId="6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71">
      <alignment/>
      <protection/>
    </xf>
    <xf numFmtId="0" fontId="26" fillId="0" borderId="0" xfId="71" applyFont="1">
      <alignment/>
      <protection/>
    </xf>
    <xf numFmtId="3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0" fontId="8" fillId="0" borderId="0" xfId="71" applyFont="1">
      <alignment/>
      <protection/>
    </xf>
    <xf numFmtId="3" fontId="9" fillId="0" borderId="36" xfId="62" applyNumberFormat="1" applyFont="1" applyBorder="1" applyAlignment="1">
      <alignment horizontal="center" vertical="center" wrapText="1"/>
      <protection/>
    </xf>
    <xf numFmtId="0" fontId="8" fillId="0" borderId="61" xfId="62" applyFont="1" applyBorder="1">
      <alignment/>
      <protection/>
    </xf>
    <xf numFmtId="0" fontId="8" fillId="0" borderId="30" xfId="62" applyFont="1" applyBorder="1">
      <alignment/>
      <protection/>
    </xf>
    <xf numFmtId="0" fontId="8" fillId="0" borderId="62" xfId="62" applyFont="1" applyBorder="1">
      <alignment/>
      <protection/>
    </xf>
    <xf numFmtId="0" fontId="8" fillId="0" borderId="30" xfId="62" applyFont="1" applyBorder="1">
      <alignment/>
      <protection/>
    </xf>
    <xf numFmtId="3" fontId="9" fillId="0" borderId="36" xfId="62" applyNumberFormat="1" applyFont="1" applyBorder="1">
      <alignment/>
      <protection/>
    </xf>
    <xf numFmtId="3" fontId="13" fillId="0" borderId="0" xfId="0" applyNumberFormat="1" applyFont="1" applyAlignment="1">
      <alignment horizontal="right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0" borderId="63" xfId="60" applyFont="1" applyBorder="1" applyAlignment="1">
      <alignment vertical="center" wrapText="1"/>
      <protection/>
    </xf>
    <xf numFmtId="3" fontId="13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3" fontId="8" fillId="0" borderId="64" xfId="0" applyNumberFormat="1" applyFont="1" applyBorder="1" applyAlignment="1">
      <alignment/>
    </xf>
    <xf numFmtId="3" fontId="8" fillId="0" borderId="64" xfId="0" applyNumberFormat="1" applyFont="1" applyFill="1" applyBorder="1" applyAlignment="1">
      <alignment/>
    </xf>
    <xf numFmtId="0" fontId="13" fillId="0" borderId="63" xfId="0" applyFont="1" applyBorder="1" applyAlignment="1">
      <alignment/>
    </xf>
    <xf numFmtId="9" fontId="13" fillId="0" borderId="65" xfId="79" applyFont="1" applyBorder="1" applyAlignment="1">
      <alignment/>
    </xf>
    <xf numFmtId="0" fontId="13" fillId="0" borderId="66" xfId="0" applyFont="1" applyBorder="1" applyAlignment="1">
      <alignment/>
    </xf>
    <xf numFmtId="3" fontId="9" fillId="0" borderId="67" xfId="0" applyNumberFormat="1" applyFont="1" applyBorder="1" applyAlignment="1">
      <alignment horizontal="center" vertical="center" wrapText="1"/>
    </xf>
    <xf numFmtId="9" fontId="13" fillId="0" borderId="68" xfId="79" applyFont="1" applyBorder="1" applyAlignment="1">
      <alignment/>
    </xf>
    <xf numFmtId="9" fontId="13" fillId="0" borderId="0" xfId="79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3" fontId="9" fillId="0" borderId="0" xfId="46" applyNumberFormat="1" applyFont="1" applyBorder="1" applyAlignment="1">
      <alignment horizontal="right" vertical="center" wrapText="1"/>
    </xf>
    <xf numFmtId="3" fontId="9" fillId="0" borderId="41" xfId="62" applyNumberFormat="1" applyFont="1" applyBorder="1" applyAlignment="1">
      <alignment horizontal="center" vertical="center" wrapText="1"/>
      <protection/>
    </xf>
    <xf numFmtId="3" fontId="8" fillId="0" borderId="64" xfId="0" applyNumberFormat="1" applyFont="1" applyBorder="1" applyAlignment="1">
      <alignment/>
    </xf>
    <xf numFmtId="0" fontId="28" fillId="0" borderId="36" xfId="67" applyFont="1" applyBorder="1" applyAlignment="1">
      <alignment horizontal="center" vertical="center"/>
      <protection/>
    </xf>
    <xf numFmtId="0" fontId="27" fillId="0" borderId="0" xfId="67">
      <alignment/>
      <protection/>
    </xf>
    <xf numFmtId="0" fontId="27" fillId="0" borderId="32" xfId="67" applyBorder="1" applyAlignment="1">
      <alignment horizontal="center" vertical="center"/>
      <protection/>
    </xf>
    <xf numFmtId="0" fontId="27" fillId="0" borderId="32" xfId="67" applyBorder="1">
      <alignment/>
      <protection/>
    </xf>
    <xf numFmtId="0" fontId="27" fillId="0" borderId="69" xfId="67" applyBorder="1" applyAlignment="1">
      <alignment horizontal="center" vertical="center"/>
      <protection/>
    </xf>
    <xf numFmtId="0" fontId="27" fillId="0" borderId="69" xfId="67" applyBorder="1">
      <alignment/>
      <protection/>
    </xf>
    <xf numFmtId="3" fontId="27" fillId="0" borderId="69" xfId="67" applyNumberFormat="1" applyBorder="1">
      <alignment/>
      <protection/>
    </xf>
    <xf numFmtId="3" fontId="27" fillId="0" borderId="70" xfId="67" applyNumberFormat="1" applyBorder="1">
      <alignment/>
      <protection/>
    </xf>
    <xf numFmtId="0" fontId="27" fillId="0" borderId="71" xfId="67" applyBorder="1" applyAlignment="1">
      <alignment horizontal="center" vertical="center"/>
      <protection/>
    </xf>
    <xf numFmtId="0" fontId="27" fillId="0" borderId="71" xfId="67" applyBorder="1" applyAlignment="1">
      <alignment vertical="center" wrapText="1"/>
      <protection/>
    </xf>
    <xf numFmtId="0" fontId="27" fillId="0" borderId="72" xfId="67" applyBorder="1">
      <alignment/>
      <protection/>
    </xf>
    <xf numFmtId="0" fontId="27" fillId="0" borderId="71" xfId="67" applyBorder="1">
      <alignment/>
      <protection/>
    </xf>
    <xf numFmtId="0" fontId="27" fillId="0" borderId="73" xfId="67" applyBorder="1">
      <alignment/>
      <protection/>
    </xf>
    <xf numFmtId="3" fontId="27" fillId="0" borderId="72" xfId="67" applyNumberFormat="1" applyBorder="1">
      <alignment/>
      <protection/>
    </xf>
    <xf numFmtId="3" fontId="27" fillId="0" borderId="71" xfId="67" applyNumberFormat="1" applyBorder="1">
      <alignment/>
      <protection/>
    </xf>
    <xf numFmtId="3" fontId="27" fillId="0" borderId="73" xfId="67" applyNumberFormat="1" applyBorder="1">
      <alignment/>
      <protection/>
    </xf>
    <xf numFmtId="0" fontId="27" fillId="0" borderId="74" xfId="67" applyBorder="1" applyAlignment="1">
      <alignment horizontal="center" vertical="center"/>
      <protection/>
    </xf>
    <xf numFmtId="0" fontId="27" fillId="0" borderId="74" xfId="67" applyBorder="1" applyAlignment="1">
      <alignment vertical="center" wrapText="1"/>
      <protection/>
    </xf>
    <xf numFmtId="0" fontId="27" fillId="0" borderId="75" xfId="67" applyBorder="1">
      <alignment/>
      <protection/>
    </xf>
    <xf numFmtId="0" fontId="27" fillId="0" borderId="74" xfId="67" applyBorder="1">
      <alignment/>
      <protection/>
    </xf>
    <xf numFmtId="0" fontId="27" fillId="0" borderId="76" xfId="67" applyBorder="1">
      <alignment/>
      <protection/>
    </xf>
    <xf numFmtId="0" fontId="28" fillId="0" borderId="36" xfId="67" applyFont="1" applyBorder="1" applyAlignment="1">
      <alignment vertical="center" wrapText="1"/>
      <protection/>
    </xf>
    <xf numFmtId="3" fontId="28" fillId="0" borderId="40" xfId="67" applyNumberFormat="1" applyFont="1" applyBorder="1">
      <alignment/>
      <protection/>
    </xf>
    <xf numFmtId="3" fontId="28" fillId="0" borderId="36" xfId="67" applyNumberFormat="1" applyFont="1" applyBorder="1">
      <alignment/>
      <protection/>
    </xf>
    <xf numFmtId="3" fontId="28" fillId="0" borderId="41" xfId="67" applyNumberFormat="1" applyFont="1" applyBorder="1">
      <alignment/>
      <protection/>
    </xf>
    <xf numFmtId="0" fontId="28" fillId="0" borderId="0" xfId="67" applyFont="1">
      <alignment/>
      <protection/>
    </xf>
    <xf numFmtId="0" fontId="27" fillId="0" borderId="77" xfId="67" applyBorder="1" applyAlignment="1">
      <alignment horizontal="center" vertical="center"/>
      <protection/>
    </xf>
    <xf numFmtId="3" fontId="27" fillId="0" borderId="78" xfId="67" applyNumberFormat="1" applyBorder="1">
      <alignment/>
      <protection/>
    </xf>
    <xf numFmtId="3" fontId="27" fillId="0" borderId="77" xfId="67" applyNumberFormat="1" applyBorder="1">
      <alignment/>
      <protection/>
    </xf>
    <xf numFmtId="3" fontId="27" fillId="0" borderId="79" xfId="67" applyNumberFormat="1" applyBorder="1">
      <alignment/>
      <protection/>
    </xf>
    <xf numFmtId="3" fontId="27" fillId="0" borderId="75" xfId="67" applyNumberFormat="1" applyBorder="1">
      <alignment/>
      <protection/>
    </xf>
    <xf numFmtId="3" fontId="27" fillId="0" borderId="74" xfId="67" applyNumberFormat="1" applyBorder="1">
      <alignment/>
      <protection/>
    </xf>
    <xf numFmtId="3" fontId="27" fillId="0" borderId="76" xfId="67" applyNumberFormat="1" applyBorder="1">
      <alignment/>
      <protection/>
    </xf>
    <xf numFmtId="0" fontId="27" fillId="0" borderId="0" xfId="67" applyAlignment="1">
      <alignment horizontal="center" vertical="center"/>
      <protection/>
    </xf>
    <xf numFmtId="0" fontId="27" fillId="0" borderId="0" xfId="67" applyAlignment="1">
      <alignment vertical="center" wrapText="1"/>
      <protection/>
    </xf>
    <xf numFmtId="0" fontId="28" fillId="0" borderId="40" xfId="67" applyFont="1" applyBorder="1" applyAlignment="1">
      <alignment vertical="center" wrapText="1"/>
      <protection/>
    </xf>
    <xf numFmtId="0" fontId="28" fillId="0" borderId="40" xfId="67" applyFont="1" applyBorder="1" applyAlignment="1">
      <alignment horizontal="center" vertical="center"/>
      <protection/>
    </xf>
    <xf numFmtId="174" fontId="28" fillId="0" borderId="36" xfId="46" applyNumberFormat="1" applyFont="1" applyBorder="1" applyAlignment="1">
      <alignment horizontal="right" vertical="center" wrapText="1"/>
    </xf>
    <xf numFmtId="0" fontId="27" fillId="0" borderId="80" xfId="67" applyBorder="1">
      <alignment/>
      <protection/>
    </xf>
    <xf numFmtId="174" fontId="27" fillId="0" borderId="69" xfId="46" applyNumberFormat="1" applyFont="1" applyBorder="1" applyAlignment="1">
      <alignment horizontal="right" vertical="center" wrapText="1"/>
    </xf>
    <xf numFmtId="0" fontId="27" fillId="0" borderId="60" xfId="67" applyFont="1" applyBorder="1" applyAlignment="1">
      <alignment horizontal="center" vertical="center"/>
      <protection/>
    </xf>
    <xf numFmtId="0" fontId="27" fillId="0" borderId="81" xfId="67" applyFont="1" applyBorder="1" applyAlignment="1">
      <alignment horizontal="center" vertical="center"/>
      <protection/>
    </xf>
    <xf numFmtId="0" fontId="27" fillId="0" borderId="82" xfId="67" applyFont="1" applyBorder="1" applyAlignment="1">
      <alignment horizontal="center" vertical="center"/>
      <protection/>
    </xf>
    <xf numFmtId="0" fontId="27" fillId="0" borderId="22" xfId="67" applyFont="1" applyBorder="1">
      <alignment/>
      <protection/>
    </xf>
    <xf numFmtId="0" fontId="27" fillId="0" borderId="13" xfId="67" applyFont="1" applyBorder="1">
      <alignment/>
      <protection/>
    </xf>
    <xf numFmtId="0" fontId="27" fillId="0" borderId="71" xfId="67" applyFont="1" applyBorder="1" applyAlignment="1">
      <alignment vertical="center" wrapText="1"/>
      <protection/>
    </xf>
    <xf numFmtId="3" fontId="9" fillId="0" borderId="36" xfId="46" applyNumberFormat="1" applyFont="1" applyBorder="1" applyAlignment="1">
      <alignment horizontal="right"/>
    </xf>
    <xf numFmtId="3" fontId="8" fillId="0" borderId="83" xfId="0" applyNumberFormat="1" applyFont="1" applyBorder="1" applyAlignment="1">
      <alignment horizontal="right" vertical="center"/>
    </xf>
    <xf numFmtId="3" fontId="8" fillId="0" borderId="84" xfId="0" applyNumberFormat="1" applyFont="1" applyBorder="1" applyAlignment="1">
      <alignment horizontal="right" vertical="center"/>
    </xf>
    <xf numFmtId="3" fontId="8" fillId="0" borderId="64" xfId="0" applyNumberFormat="1" applyFont="1" applyBorder="1" applyAlignment="1">
      <alignment horizontal="right" vertical="center"/>
    </xf>
    <xf numFmtId="3" fontId="8" fillId="0" borderId="65" xfId="0" applyNumberFormat="1" applyFont="1" applyBorder="1" applyAlignment="1">
      <alignment horizontal="right" vertical="center"/>
    </xf>
    <xf numFmtId="3" fontId="8" fillId="0" borderId="65" xfId="0" applyNumberFormat="1" applyFont="1" applyBorder="1" applyAlignment="1">
      <alignment vertical="center"/>
    </xf>
    <xf numFmtId="3" fontId="8" fillId="0" borderId="64" xfId="69" applyNumberFormat="1" applyFont="1" applyBorder="1" applyAlignment="1">
      <alignment horizontal="right" vertical="center"/>
      <protection/>
    </xf>
    <xf numFmtId="3" fontId="8" fillId="0" borderId="64" xfId="69" applyNumberFormat="1" applyFont="1" applyBorder="1" applyAlignment="1">
      <alignment vertical="center"/>
      <protection/>
    </xf>
    <xf numFmtId="0" fontId="13" fillId="0" borderId="85" xfId="0" applyFont="1" applyBorder="1" applyAlignment="1">
      <alignment/>
    </xf>
    <xf numFmtId="0" fontId="30" fillId="0" borderId="85" xfId="71" applyFont="1" applyBorder="1" applyAlignment="1">
      <alignment horizontal="right"/>
      <protection/>
    </xf>
    <xf numFmtId="0" fontId="16" fillId="0" borderId="63" xfId="71" applyFont="1" applyBorder="1" applyAlignment="1">
      <alignment horizontal="right"/>
      <protection/>
    </xf>
    <xf numFmtId="0" fontId="8" fillId="0" borderId="64" xfId="71" applyFont="1" applyBorder="1" applyAlignment="1">
      <alignment vertical="center" wrapText="1"/>
      <protection/>
    </xf>
    <xf numFmtId="0" fontId="30" fillId="0" borderId="63" xfId="71" applyFont="1" applyBorder="1" applyAlignment="1">
      <alignment horizontal="right"/>
      <protection/>
    </xf>
    <xf numFmtId="0" fontId="8" fillId="0" borderId="64" xfId="71" applyFont="1" applyBorder="1" applyAlignment="1">
      <alignment vertical="center" wrapText="1"/>
      <protection/>
    </xf>
    <xf numFmtId="0" fontId="16" fillId="0" borderId="0" xfId="71" applyBorder="1" applyAlignment="1">
      <alignment horizontal="right"/>
      <protection/>
    </xf>
    <xf numFmtId="0" fontId="9" fillId="0" borderId="0" xfId="71" applyFont="1" applyBorder="1" applyAlignment="1">
      <alignment wrapText="1"/>
      <protection/>
    </xf>
    <xf numFmtId="0" fontId="16" fillId="0" borderId="0" xfId="71" applyBorder="1">
      <alignment/>
      <protection/>
    </xf>
    <xf numFmtId="0" fontId="8" fillId="0" borderId="0" xfId="71" applyFont="1" applyBorder="1" applyAlignment="1">
      <alignment wrapText="1"/>
      <protection/>
    </xf>
    <xf numFmtId="0" fontId="8" fillId="0" borderId="0" xfId="71" applyFont="1" applyBorder="1" applyAlignment="1">
      <alignment vertical="center" wrapText="1"/>
      <protection/>
    </xf>
    <xf numFmtId="0" fontId="26" fillId="0" borderId="0" xfId="71" applyFont="1" applyBorder="1" applyAlignment="1">
      <alignment horizontal="right"/>
      <protection/>
    </xf>
    <xf numFmtId="0" fontId="9" fillId="0" borderId="0" xfId="71" applyFont="1" applyFill="1" applyBorder="1" applyAlignment="1">
      <alignment horizontal="left"/>
      <protection/>
    </xf>
    <xf numFmtId="0" fontId="8" fillId="0" borderId="0" xfId="71" applyFont="1" applyFill="1" applyBorder="1" applyAlignment="1">
      <alignment horizontal="left" wrapText="1"/>
      <protection/>
    </xf>
    <xf numFmtId="0" fontId="9" fillId="0" borderId="0" xfId="71" applyFont="1" applyBorder="1">
      <alignment/>
      <protection/>
    </xf>
    <xf numFmtId="0" fontId="8" fillId="0" borderId="0" xfId="71" applyFont="1" applyBorder="1">
      <alignment/>
      <protection/>
    </xf>
    <xf numFmtId="0" fontId="16" fillId="0" borderId="0" xfId="71" applyAlignment="1">
      <alignment horizontal="right"/>
      <protection/>
    </xf>
    <xf numFmtId="174" fontId="14" fillId="0" borderId="64" xfId="46" applyNumberFormat="1" applyFont="1" applyBorder="1" applyAlignment="1">
      <alignment horizontal="right" vertical="center" wrapText="1"/>
    </xf>
    <xf numFmtId="174" fontId="8" fillId="0" borderId="64" xfId="46" applyNumberFormat="1" applyFont="1" applyBorder="1" applyAlignment="1">
      <alignment horizontal="right" vertical="center" wrapText="1"/>
    </xf>
    <xf numFmtId="174" fontId="14" fillId="0" borderId="64" xfId="46" applyNumberFormat="1" applyFont="1" applyBorder="1" applyAlignment="1">
      <alignment horizontal="right" vertical="center" wrapText="1"/>
    </xf>
    <xf numFmtId="174" fontId="9" fillId="0" borderId="64" xfId="46" applyNumberFormat="1" applyFont="1" applyBorder="1" applyAlignment="1">
      <alignment horizontal="right" vertical="center" wrapText="1"/>
    </xf>
    <xf numFmtId="174" fontId="8" fillId="0" borderId="64" xfId="46" applyNumberFormat="1" applyFont="1" applyBorder="1" applyAlignment="1">
      <alignment horizontal="right" vertical="center" wrapText="1"/>
    </xf>
    <xf numFmtId="0" fontId="8" fillId="0" borderId="63" xfId="0" applyFont="1" applyBorder="1" applyAlignment="1">
      <alignment vertical="center" wrapText="1"/>
    </xf>
    <xf numFmtId="0" fontId="8" fillId="0" borderId="86" xfId="0" applyFont="1" applyBorder="1" applyAlignment="1">
      <alignment vertical="center" wrapText="1"/>
    </xf>
    <xf numFmtId="0" fontId="8" fillId="0" borderId="87" xfId="0" applyFont="1" applyBorder="1" applyAlignment="1">
      <alignment vertical="center" wrapText="1"/>
    </xf>
    <xf numFmtId="174" fontId="9" fillId="0" borderId="57" xfId="46" applyNumberFormat="1" applyFont="1" applyBorder="1" applyAlignment="1">
      <alignment horizontal="right" vertical="center" wrapText="1"/>
    </xf>
    <xf numFmtId="0" fontId="9" fillId="0" borderId="57" xfId="0" applyFont="1" applyBorder="1" applyAlignment="1">
      <alignment vertical="center" wrapText="1"/>
    </xf>
    <xf numFmtId="3" fontId="8" fillId="0" borderId="64" xfId="0" applyNumberFormat="1" applyFont="1" applyFill="1" applyBorder="1" applyAlignment="1">
      <alignment/>
    </xf>
    <xf numFmtId="3" fontId="8" fillId="0" borderId="65" xfId="0" applyNumberFormat="1" applyFont="1" applyFill="1" applyBorder="1" applyAlignment="1">
      <alignment/>
    </xf>
    <xf numFmtId="3" fontId="8" fillId="0" borderId="88" xfId="0" applyNumberFormat="1" applyFont="1" applyBorder="1" applyAlignment="1">
      <alignment/>
    </xf>
    <xf numFmtId="3" fontId="8" fillId="0" borderId="88" xfId="0" applyNumberFormat="1" applyFont="1" applyFill="1" applyBorder="1" applyAlignment="1">
      <alignment/>
    </xf>
    <xf numFmtId="3" fontId="8" fillId="0" borderId="89" xfId="0" applyNumberFormat="1" applyFont="1" applyFill="1" applyBorder="1" applyAlignment="1">
      <alignment/>
    </xf>
    <xf numFmtId="3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" fontId="8" fillId="0" borderId="65" xfId="0" applyNumberFormat="1" applyFont="1" applyBorder="1" applyAlignment="1">
      <alignment vertical="center" wrapText="1"/>
    </xf>
    <xf numFmtId="0" fontId="30" fillId="0" borderId="60" xfId="71" applyFont="1" applyBorder="1" applyAlignment="1">
      <alignment horizontal="right"/>
      <protection/>
    </xf>
    <xf numFmtId="174" fontId="9" fillId="0" borderId="57" xfId="46" applyNumberFormat="1" applyFont="1" applyBorder="1" applyAlignment="1">
      <alignment horizontal="center" vertical="center" wrapText="1"/>
    </xf>
    <xf numFmtId="174" fontId="8" fillId="0" borderId="83" xfId="46" applyNumberFormat="1" applyFont="1" applyBorder="1" applyAlignment="1">
      <alignment horizontal="right" vertical="center" wrapText="1"/>
    </xf>
    <xf numFmtId="174" fontId="8" fillId="0" borderId="87" xfId="46" applyNumberFormat="1" applyFont="1" applyBorder="1" applyAlignment="1">
      <alignment horizontal="right" vertical="center" wrapText="1"/>
    </xf>
    <xf numFmtId="174" fontId="8" fillId="0" borderId="87" xfId="46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72" applyFont="1">
      <alignment/>
      <protection/>
    </xf>
    <xf numFmtId="0" fontId="31" fillId="0" borderId="0" xfId="72" applyFont="1">
      <alignment/>
      <protection/>
    </xf>
    <xf numFmtId="3" fontId="9" fillId="0" borderId="83" xfId="0" applyNumberFormat="1" applyFont="1" applyBorder="1" applyAlignment="1">
      <alignment/>
    </xf>
    <xf numFmtId="3" fontId="9" fillId="0" borderId="87" xfId="0" applyNumberFormat="1" applyFont="1" applyBorder="1" applyAlignment="1">
      <alignment/>
    </xf>
    <xf numFmtId="3" fontId="8" fillId="0" borderId="83" xfId="0" applyNumberFormat="1" applyFont="1" applyBorder="1" applyAlignment="1">
      <alignment/>
    </xf>
    <xf numFmtId="3" fontId="8" fillId="0" borderId="87" xfId="0" applyNumberFormat="1" applyFont="1" applyBorder="1" applyAlignment="1">
      <alignment/>
    </xf>
    <xf numFmtId="3" fontId="8" fillId="0" borderId="64" xfId="0" applyNumberFormat="1" applyFont="1" applyBorder="1" applyAlignment="1">
      <alignment horizontal="right"/>
    </xf>
    <xf numFmtId="3" fontId="8" fillId="0" borderId="64" xfId="0" applyNumberFormat="1" applyFont="1" applyBorder="1" applyAlignment="1">
      <alignment horizontal="center"/>
    </xf>
    <xf numFmtId="0" fontId="27" fillId="0" borderId="45" xfId="67" applyFont="1" applyBorder="1" applyAlignment="1">
      <alignment horizontal="center" vertical="center"/>
      <protection/>
    </xf>
    <xf numFmtId="0" fontId="27" fillId="0" borderId="90" xfId="67" applyFont="1" applyBorder="1" applyAlignment="1">
      <alignment horizontal="center" vertical="center"/>
      <protection/>
    </xf>
    <xf numFmtId="0" fontId="27" fillId="0" borderId="91" xfId="67" applyFont="1" applyBorder="1" applyAlignment="1">
      <alignment horizontal="center" vertical="center" wrapText="1"/>
      <protection/>
    </xf>
    <xf numFmtId="0" fontId="13" fillId="0" borderId="92" xfId="0" applyFont="1" applyBorder="1" applyAlignment="1">
      <alignment/>
    </xf>
    <xf numFmtId="0" fontId="13" fillId="0" borderId="64" xfId="0" applyFont="1" applyBorder="1" applyAlignment="1">
      <alignment/>
    </xf>
    <xf numFmtId="0" fontId="15" fillId="0" borderId="63" xfId="0" applyFont="1" applyBorder="1" applyAlignment="1">
      <alignment vertical="center"/>
    </xf>
    <xf numFmtId="3" fontId="9" fillId="0" borderId="64" xfId="0" applyNumberFormat="1" applyFont="1" applyBorder="1" applyAlignment="1">
      <alignment vertical="center"/>
    </xf>
    <xf numFmtId="0" fontId="27" fillId="0" borderId="93" xfId="67" applyBorder="1">
      <alignment/>
      <protection/>
    </xf>
    <xf numFmtId="174" fontId="27" fillId="0" borderId="0" xfId="67" applyNumberFormat="1">
      <alignment/>
      <protection/>
    </xf>
    <xf numFmtId="3" fontId="28" fillId="0" borderId="0" xfId="67" applyNumberFormat="1" applyFont="1">
      <alignment/>
      <protection/>
    </xf>
    <xf numFmtId="0" fontId="27" fillId="0" borderId="77" xfId="67" applyFont="1" applyBorder="1" applyAlignment="1">
      <alignment vertical="center" wrapText="1"/>
      <protection/>
    </xf>
    <xf numFmtId="0" fontId="27" fillId="0" borderId="0" xfId="67" applyFont="1" applyBorder="1" applyAlignment="1">
      <alignment horizontal="center" vertical="center"/>
      <protection/>
    </xf>
    <xf numFmtId="0" fontId="27" fillId="0" borderId="0" xfId="67" applyFont="1" applyBorder="1">
      <alignment/>
      <protection/>
    </xf>
    <xf numFmtId="174" fontId="27" fillId="0" borderId="0" xfId="46" applyNumberFormat="1" applyFont="1" applyBorder="1" applyAlignment="1">
      <alignment horizontal="center"/>
    </xf>
    <xf numFmtId="0" fontId="33" fillId="0" borderId="0" xfId="0" applyFont="1" applyAlignment="1">
      <alignment/>
    </xf>
    <xf numFmtId="3" fontId="8" fillId="0" borderId="64" xfId="0" applyNumberFormat="1" applyFont="1" applyFill="1" applyBorder="1" applyAlignment="1">
      <alignment wrapText="1"/>
    </xf>
    <xf numFmtId="0" fontId="6" fillId="0" borderId="0" xfId="51" applyAlignment="1" applyProtection="1" quotePrefix="1">
      <alignment/>
      <protection/>
    </xf>
    <xf numFmtId="0" fontId="13" fillId="0" borderId="6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59" xfId="0" applyBorder="1" applyAlignment="1">
      <alignment/>
    </xf>
    <xf numFmtId="0" fontId="0" fillId="0" borderId="0" xfId="0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3" fontId="8" fillId="0" borderId="84" xfId="0" applyNumberFormat="1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3" fontId="8" fillId="0" borderId="64" xfId="0" applyNumberFormat="1" applyFont="1" applyBorder="1" applyAlignment="1">
      <alignment vertical="center" wrapText="1"/>
    </xf>
    <xf numFmtId="1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9" fillId="0" borderId="37" xfId="62" applyNumberFormat="1" applyFont="1" applyBorder="1" applyAlignment="1">
      <alignment horizontal="center" vertical="center" wrapText="1"/>
      <protection/>
    </xf>
    <xf numFmtId="0" fontId="8" fillId="0" borderId="94" xfId="62" applyFont="1" applyBorder="1">
      <alignment/>
      <protection/>
    </xf>
    <xf numFmtId="0" fontId="8" fillId="0" borderId="26" xfId="62" applyFont="1" applyBorder="1">
      <alignment/>
      <protection/>
    </xf>
    <xf numFmtId="0" fontId="8" fillId="0" borderId="30" xfId="62" applyFont="1" applyFill="1" applyBorder="1">
      <alignment/>
      <protection/>
    </xf>
    <xf numFmtId="0" fontId="8" fillId="0" borderId="62" xfId="62" applyFont="1" applyFill="1" applyBorder="1">
      <alignment/>
      <protection/>
    </xf>
    <xf numFmtId="0" fontId="8" fillId="0" borderId="29" xfId="62" applyFont="1" applyFill="1" applyBorder="1">
      <alignment/>
      <protection/>
    </xf>
    <xf numFmtId="0" fontId="8" fillId="0" borderId="95" xfId="62" applyFont="1" applyBorder="1">
      <alignment/>
      <protection/>
    </xf>
    <xf numFmtId="0" fontId="8" fillId="34" borderId="29" xfId="62" applyFont="1" applyFill="1" applyBorder="1">
      <alignment/>
      <protection/>
    </xf>
    <xf numFmtId="3" fontId="9" fillId="0" borderId="36" xfId="46" applyNumberFormat="1" applyFont="1" applyFill="1" applyBorder="1" applyAlignment="1">
      <alignment horizontal="right"/>
    </xf>
    <xf numFmtId="3" fontId="9" fillId="34" borderId="36" xfId="46" applyNumberFormat="1" applyFont="1" applyFill="1" applyBorder="1" applyAlignment="1">
      <alignment horizontal="right"/>
    </xf>
    <xf numFmtId="3" fontId="9" fillId="0" borderId="37" xfId="46" applyNumberFormat="1" applyFont="1" applyFill="1" applyBorder="1" applyAlignment="1">
      <alignment horizontal="right"/>
    </xf>
    <xf numFmtId="0" fontId="8" fillId="34" borderId="62" xfId="62" applyFont="1" applyFill="1" applyBorder="1">
      <alignment/>
      <protection/>
    </xf>
    <xf numFmtId="0" fontId="8" fillId="0" borderId="30" xfId="62" applyFont="1" applyFill="1" applyBorder="1">
      <alignment/>
      <protection/>
    </xf>
    <xf numFmtId="0" fontId="0" fillId="0" borderId="0" xfId="0" applyFont="1" applyAlignment="1">
      <alignment vertical="center" wrapText="1"/>
    </xf>
    <xf numFmtId="0" fontId="27" fillId="0" borderId="36" xfId="67" applyFont="1" applyBorder="1" applyAlignment="1">
      <alignment horizontal="center" vertical="center" wrapText="1"/>
      <protection/>
    </xf>
    <xf numFmtId="0" fontId="9" fillId="0" borderId="57" xfId="71" applyFont="1" applyBorder="1" applyAlignment="1">
      <alignment horizontal="left" wrapText="1" indent="1"/>
      <protection/>
    </xf>
    <xf numFmtId="0" fontId="16" fillId="0" borderId="63" xfId="71" applyBorder="1" applyAlignment="1">
      <alignment horizontal="right"/>
      <protection/>
    </xf>
    <xf numFmtId="0" fontId="16" fillId="0" borderId="64" xfId="71" applyBorder="1">
      <alignment/>
      <protection/>
    </xf>
    <xf numFmtId="0" fontId="26" fillId="0" borderId="63" xfId="71" applyFont="1" applyBorder="1" applyAlignment="1">
      <alignment horizontal="right"/>
      <protection/>
    </xf>
    <xf numFmtId="0" fontId="12" fillId="0" borderId="57" xfId="71" applyFont="1" applyBorder="1" applyAlignment="1">
      <alignment vertical="center" wrapText="1"/>
      <protection/>
    </xf>
    <xf numFmtId="174" fontId="12" fillId="0" borderId="57" xfId="71" applyNumberFormat="1" applyFont="1" applyBorder="1" applyAlignment="1">
      <alignment vertical="center" wrapText="1"/>
      <protection/>
    </xf>
    <xf numFmtId="3" fontId="13" fillId="0" borderId="0" xfId="0" applyNumberFormat="1" applyFont="1" applyAlignment="1">
      <alignment vertical="center"/>
    </xf>
    <xf numFmtId="3" fontId="8" fillId="0" borderId="83" xfId="0" applyNumberFormat="1" applyFont="1" applyBorder="1" applyAlignment="1">
      <alignment/>
    </xf>
    <xf numFmtId="3" fontId="8" fillId="0" borderId="83" xfId="0" applyNumberFormat="1" applyFont="1" applyFill="1" applyBorder="1" applyAlignment="1">
      <alignment/>
    </xf>
    <xf numFmtId="3" fontId="8" fillId="0" borderId="64" xfId="0" applyNumberFormat="1" applyFont="1" applyFill="1" applyBorder="1" applyAlignment="1">
      <alignment vertical="center"/>
    </xf>
    <xf numFmtId="3" fontId="8" fillId="0" borderId="64" xfId="0" applyNumberFormat="1" applyFont="1" applyBorder="1" applyAlignment="1">
      <alignment vertical="center"/>
    </xf>
    <xf numFmtId="3" fontId="14" fillId="0" borderId="64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5" fillId="35" borderId="60" xfId="0" applyFont="1" applyFill="1" applyBorder="1" applyAlignment="1">
      <alignment vertical="center"/>
    </xf>
    <xf numFmtId="0" fontId="15" fillId="35" borderId="57" xfId="0" applyFont="1" applyFill="1" applyBorder="1" applyAlignment="1">
      <alignment vertical="center"/>
    </xf>
    <xf numFmtId="3" fontId="15" fillId="35" borderId="57" xfId="0" applyNumberFormat="1" applyFont="1" applyFill="1" applyBorder="1" applyAlignment="1">
      <alignment vertical="center"/>
    </xf>
    <xf numFmtId="0" fontId="8" fillId="0" borderId="64" xfId="0" applyFont="1" applyFill="1" applyBorder="1" applyAlignment="1">
      <alignment/>
    </xf>
    <xf numFmtId="0" fontId="9" fillId="0" borderId="64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0" fontId="18" fillId="0" borderId="64" xfId="0" applyFont="1" applyBorder="1" applyAlignment="1">
      <alignment vertical="center"/>
    </xf>
    <xf numFmtId="3" fontId="18" fillId="0" borderId="64" xfId="0" applyNumberFormat="1" applyFont="1" applyBorder="1" applyAlignment="1">
      <alignment vertical="center"/>
    </xf>
    <xf numFmtId="0" fontId="15" fillId="36" borderId="60" xfId="0" applyFont="1" applyFill="1" applyBorder="1" applyAlignment="1">
      <alignment vertical="center" wrapText="1"/>
    </xf>
    <xf numFmtId="0" fontId="15" fillId="36" borderId="57" xfId="0" applyFont="1" applyFill="1" applyBorder="1" applyAlignment="1">
      <alignment vertical="center" wrapText="1"/>
    </xf>
    <xf numFmtId="0" fontId="8" fillId="0" borderId="64" xfId="0" applyFont="1" applyFill="1" applyBorder="1" applyAlignment="1">
      <alignment vertical="center" wrapText="1"/>
    </xf>
    <xf numFmtId="3" fontId="8" fillId="0" borderId="92" xfId="0" applyNumberFormat="1" applyFont="1" applyBorder="1" applyAlignment="1">
      <alignment/>
    </xf>
    <xf numFmtId="3" fontId="8" fillId="0" borderId="92" xfId="0" applyNumberFormat="1" applyFont="1" applyFill="1" applyBorder="1" applyAlignment="1">
      <alignment/>
    </xf>
    <xf numFmtId="9" fontId="8" fillId="0" borderId="65" xfId="79" applyFont="1" applyBorder="1" applyAlignment="1">
      <alignment/>
    </xf>
    <xf numFmtId="9" fontId="9" fillId="0" borderId="65" xfId="79" applyFont="1" applyBorder="1" applyAlignment="1">
      <alignment vertical="center"/>
    </xf>
    <xf numFmtId="9" fontId="15" fillId="35" borderId="67" xfId="79" applyFont="1" applyFill="1" applyBorder="1" applyAlignment="1">
      <alignment vertical="center"/>
    </xf>
    <xf numFmtId="9" fontId="18" fillId="0" borderId="65" xfId="79" applyFont="1" applyBorder="1" applyAlignment="1">
      <alignment vertical="center"/>
    </xf>
    <xf numFmtId="9" fontId="14" fillId="0" borderId="65" xfId="79" applyFont="1" applyBorder="1" applyAlignment="1">
      <alignment vertical="center"/>
    </xf>
    <xf numFmtId="9" fontId="15" fillId="36" borderId="67" xfId="79" applyFont="1" applyFill="1" applyBorder="1" applyAlignment="1">
      <alignment vertical="center" wrapText="1"/>
    </xf>
    <xf numFmtId="9" fontId="8" fillId="0" borderId="65" xfId="79" applyFont="1" applyBorder="1" applyAlignment="1">
      <alignment vertical="center"/>
    </xf>
    <xf numFmtId="3" fontId="14" fillId="0" borderId="64" xfId="0" applyNumberFormat="1" applyFont="1" applyFill="1" applyBorder="1" applyAlignment="1">
      <alignment vertical="center"/>
    </xf>
    <xf numFmtId="0" fontId="34" fillId="37" borderId="63" xfId="70" applyFont="1" applyFill="1" applyBorder="1">
      <alignment/>
      <protection/>
    </xf>
    <xf numFmtId="0" fontId="35" fillId="0" borderId="63" xfId="70" applyFont="1" applyBorder="1">
      <alignment/>
      <protection/>
    </xf>
    <xf numFmtId="0" fontId="35" fillId="0" borderId="63" xfId="70" applyFont="1" applyFill="1" applyBorder="1">
      <alignment/>
      <protection/>
    </xf>
    <xf numFmtId="0" fontId="34" fillId="37" borderId="85" xfId="70" applyFont="1" applyFill="1" applyBorder="1">
      <alignment/>
      <protection/>
    </xf>
    <xf numFmtId="0" fontId="9" fillId="37" borderId="83" xfId="60" applyFont="1" applyFill="1" applyBorder="1" applyAlignment="1">
      <alignment wrapText="1"/>
      <protection/>
    </xf>
    <xf numFmtId="0" fontId="8" fillId="0" borderId="64" xfId="60" applyFont="1" applyFill="1" applyBorder="1">
      <alignment/>
      <protection/>
    </xf>
    <xf numFmtId="174" fontId="9" fillId="0" borderId="64" xfId="46" applyNumberFormat="1" applyFont="1" applyBorder="1" applyAlignment="1">
      <alignment horizontal="center" vertical="center" wrapText="1"/>
    </xf>
    <xf numFmtId="0" fontId="9" fillId="37" borderId="64" xfId="60" applyFont="1" applyFill="1" applyBorder="1" applyAlignment="1">
      <alignment wrapText="1"/>
      <protection/>
    </xf>
    <xf numFmtId="9" fontId="8" fillId="0" borderId="65" xfId="79" applyFont="1" applyBorder="1" applyAlignment="1">
      <alignment/>
    </xf>
    <xf numFmtId="174" fontId="8" fillId="0" borderId="64" xfId="46" applyNumberFormat="1" applyFont="1" applyBorder="1" applyAlignment="1">
      <alignment horizontal="center" vertical="center" wrapText="1"/>
    </xf>
    <xf numFmtId="3" fontId="9" fillId="37" borderId="64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vertical="center" wrapText="1"/>
    </xf>
    <xf numFmtId="0" fontId="13" fillId="0" borderId="83" xfId="0" applyFont="1" applyBorder="1" applyAlignment="1">
      <alignment/>
    </xf>
    <xf numFmtId="0" fontId="15" fillId="0" borderId="83" xfId="0" applyFont="1" applyBorder="1" applyAlignment="1">
      <alignment/>
    </xf>
    <xf numFmtId="0" fontId="15" fillId="0" borderId="85" xfId="0" applyFont="1" applyBorder="1" applyAlignment="1">
      <alignment/>
    </xf>
    <xf numFmtId="3" fontId="15" fillId="0" borderId="83" xfId="0" applyNumberFormat="1" applyFont="1" applyBorder="1" applyAlignment="1">
      <alignment/>
    </xf>
    <xf numFmtId="0" fontId="15" fillId="0" borderId="86" xfId="0" applyFont="1" applyBorder="1" applyAlignment="1">
      <alignment/>
    </xf>
    <xf numFmtId="0" fontId="15" fillId="0" borderId="87" xfId="0" applyFont="1" applyBorder="1" applyAlignment="1">
      <alignment/>
    </xf>
    <xf numFmtId="3" fontId="15" fillId="0" borderId="87" xfId="0" applyNumberFormat="1" applyFont="1" applyBorder="1" applyAlignment="1">
      <alignment/>
    </xf>
    <xf numFmtId="0" fontId="15" fillId="0" borderId="57" xfId="0" applyFont="1" applyBorder="1" applyAlignment="1">
      <alignment/>
    </xf>
    <xf numFmtId="3" fontId="15" fillId="0" borderId="57" xfId="0" applyNumberFormat="1" applyFont="1" applyBorder="1" applyAlignment="1">
      <alignment/>
    </xf>
    <xf numFmtId="9" fontId="13" fillId="0" borderId="84" xfId="79" applyFont="1" applyBorder="1" applyAlignment="1">
      <alignment/>
    </xf>
    <xf numFmtId="9" fontId="15" fillId="0" borderId="67" xfId="79" applyFont="1" applyBorder="1" applyAlignment="1">
      <alignment/>
    </xf>
    <xf numFmtId="9" fontId="15" fillId="0" borderId="84" xfId="79" applyFont="1" applyBorder="1" applyAlignment="1">
      <alignment/>
    </xf>
    <xf numFmtId="9" fontId="15" fillId="0" borderId="96" xfId="79" applyFont="1" applyBorder="1" applyAlignment="1">
      <alignment/>
    </xf>
    <xf numFmtId="0" fontId="34" fillId="37" borderId="86" xfId="70" applyFont="1" applyFill="1" applyBorder="1">
      <alignment/>
      <protection/>
    </xf>
    <xf numFmtId="9" fontId="8" fillId="0" borderId="65" xfId="79" applyFont="1" applyBorder="1" applyAlignment="1">
      <alignment horizontal="right"/>
    </xf>
    <xf numFmtId="0" fontId="9" fillId="37" borderId="87" xfId="60" applyFont="1" applyFill="1" applyBorder="1" applyAlignment="1">
      <alignment wrapText="1"/>
      <protection/>
    </xf>
    <xf numFmtId="3" fontId="9" fillId="37" borderId="83" xfId="0" applyNumberFormat="1" applyFont="1" applyFill="1" applyBorder="1" applyAlignment="1">
      <alignment horizontal="right" vertical="center" wrapText="1"/>
    </xf>
    <xf numFmtId="9" fontId="9" fillId="37" borderId="84" xfId="79" applyFont="1" applyFill="1" applyBorder="1" applyAlignment="1">
      <alignment horizontal="right"/>
    </xf>
    <xf numFmtId="3" fontId="9" fillId="33" borderId="60" xfId="0" applyNumberFormat="1" applyFont="1" applyFill="1" applyBorder="1" applyAlignment="1">
      <alignment vertical="center" wrapText="1"/>
    </xf>
    <xf numFmtId="3" fontId="9" fillId="33" borderId="57" xfId="0" applyNumberFormat="1" applyFont="1" applyFill="1" applyBorder="1" applyAlignment="1">
      <alignment vertical="center" wrapText="1"/>
    </xf>
    <xf numFmtId="9" fontId="9" fillId="33" borderId="67" xfId="79" applyFont="1" applyFill="1" applyBorder="1" applyAlignment="1">
      <alignment vertical="center" wrapText="1"/>
    </xf>
    <xf numFmtId="0" fontId="14" fillId="0" borderId="64" xfId="60" applyFont="1" applyFill="1" applyBorder="1" applyAlignment="1">
      <alignment vertical="center" wrapText="1"/>
      <protection/>
    </xf>
    <xf numFmtId="9" fontId="9" fillId="37" borderId="65" xfId="79" applyFont="1" applyFill="1" applyBorder="1" applyAlignment="1">
      <alignment horizontal="right"/>
    </xf>
    <xf numFmtId="3" fontId="9" fillId="37" borderId="87" xfId="0" applyNumberFormat="1" applyFont="1" applyFill="1" applyBorder="1" applyAlignment="1">
      <alignment horizontal="right" vertical="center" wrapText="1"/>
    </xf>
    <xf numFmtId="9" fontId="9" fillId="37" borderId="96" xfId="79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14" fillId="0" borderId="64" xfId="60" applyFont="1" applyFill="1" applyBorder="1" applyAlignment="1">
      <alignment wrapText="1"/>
      <protection/>
    </xf>
    <xf numFmtId="9" fontId="14" fillId="0" borderId="65" xfId="79" applyFont="1" applyBorder="1" applyAlignment="1">
      <alignment vertical="center" wrapText="1"/>
    </xf>
    <xf numFmtId="9" fontId="8" fillId="0" borderId="65" xfId="79" applyFont="1" applyBorder="1" applyAlignment="1">
      <alignment vertical="center" wrapText="1"/>
    </xf>
    <xf numFmtId="1" fontId="8" fillId="0" borderId="64" xfId="46" applyNumberFormat="1" applyFont="1" applyBorder="1" applyAlignment="1">
      <alignment horizontal="right" vertical="center" wrapText="1"/>
    </xf>
    <xf numFmtId="0" fontId="9" fillId="37" borderId="97" xfId="0" applyFont="1" applyFill="1" applyBorder="1" applyAlignment="1">
      <alignment vertical="center" wrapText="1"/>
    </xf>
    <xf numFmtId="0" fontId="9" fillId="37" borderId="88" xfId="70" applyFont="1" applyFill="1" applyBorder="1" applyAlignment="1">
      <alignment vertical="center" wrapText="1"/>
      <protection/>
    </xf>
    <xf numFmtId="9" fontId="14" fillId="0" borderId="65" xfId="79" applyFont="1" applyBorder="1" applyAlignment="1">
      <alignment vertical="center" wrapText="1"/>
    </xf>
    <xf numFmtId="9" fontId="9" fillId="0" borderId="67" xfId="79" applyFont="1" applyBorder="1" applyAlignment="1">
      <alignment vertical="center" wrapText="1"/>
    </xf>
    <xf numFmtId="0" fontId="8" fillId="0" borderId="83" xfId="0" applyFont="1" applyBorder="1" applyAlignment="1">
      <alignment vertical="center" wrapText="1"/>
    </xf>
    <xf numFmtId="0" fontId="8" fillId="0" borderId="98" xfId="0" applyFont="1" applyBorder="1" applyAlignment="1">
      <alignment vertical="center" wrapText="1"/>
    </xf>
    <xf numFmtId="0" fontId="8" fillId="0" borderId="67" xfId="0" applyFont="1" applyBorder="1" applyAlignment="1">
      <alignment vertical="center" wrapText="1"/>
    </xf>
    <xf numFmtId="0" fontId="8" fillId="0" borderId="99" xfId="0" applyFont="1" applyBorder="1" applyAlignment="1">
      <alignment vertical="center" wrapText="1"/>
    </xf>
    <xf numFmtId="9" fontId="8" fillId="0" borderId="84" xfId="79" applyFont="1" applyBorder="1" applyAlignment="1">
      <alignment vertical="center" wrapText="1"/>
    </xf>
    <xf numFmtId="0" fontId="8" fillId="0" borderId="100" xfId="0" applyFont="1" applyBorder="1" applyAlignment="1">
      <alignment vertical="center" wrapText="1"/>
    </xf>
    <xf numFmtId="9" fontId="8" fillId="0" borderId="96" xfId="79" applyFont="1" applyBorder="1" applyAlignment="1">
      <alignment vertical="center" wrapText="1"/>
    </xf>
    <xf numFmtId="174" fontId="9" fillId="37" borderId="83" xfId="46" applyNumberFormat="1" applyFont="1" applyFill="1" applyBorder="1" applyAlignment="1">
      <alignment horizontal="right" vertical="center" wrapText="1"/>
    </xf>
    <xf numFmtId="174" fontId="9" fillId="37" borderId="88" xfId="46" applyNumberFormat="1" applyFont="1" applyFill="1" applyBorder="1" applyAlignment="1">
      <alignment horizontal="right" vertical="center" wrapText="1"/>
    </xf>
    <xf numFmtId="0" fontId="16" fillId="0" borderId="0" xfId="65">
      <alignment/>
      <protection/>
    </xf>
    <xf numFmtId="0" fontId="13" fillId="0" borderId="85" xfId="0" applyFont="1" applyFill="1" applyBorder="1" applyAlignment="1">
      <alignment vertical="center"/>
    </xf>
    <xf numFmtId="0" fontId="13" fillId="0" borderId="63" xfId="0" applyFont="1" applyFill="1" applyBorder="1" applyAlignment="1">
      <alignment vertical="center"/>
    </xf>
    <xf numFmtId="3" fontId="8" fillId="0" borderId="87" xfId="0" applyNumberFormat="1" applyFont="1" applyFill="1" applyBorder="1" applyAlignment="1">
      <alignment vertical="center" wrapText="1"/>
    </xf>
    <xf numFmtId="3" fontId="8" fillId="0" borderId="87" xfId="0" applyNumberFormat="1" applyFont="1" applyFill="1" applyBorder="1" applyAlignment="1">
      <alignment/>
    </xf>
    <xf numFmtId="0" fontId="13" fillId="0" borderId="86" xfId="0" applyFont="1" applyFill="1" applyBorder="1" applyAlignment="1">
      <alignment vertical="center"/>
    </xf>
    <xf numFmtId="3" fontId="14" fillId="0" borderId="0" xfId="0" applyNumberFormat="1" applyFont="1" applyBorder="1" applyAlignment="1">
      <alignment wrapText="1"/>
    </xf>
    <xf numFmtId="3" fontId="14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9" fontId="14" fillId="0" borderId="0" xfId="79" applyFont="1" applyFill="1" applyBorder="1" applyAlignment="1">
      <alignment vertical="center" wrapText="1"/>
    </xf>
    <xf numFmtId="3" fontId="8" fillId="0" borderId="87" xfId="0" applyNumberFormat="1" applyFont="1" applyFill="1" applyBorder="1" applyAlignment="1">
      <alignment vertical="center"/>
    </xf>
    <xf numFmtId="0" fontId="14" fillId="0" borderId="63" xfId="0" applyFont="1" applyBorder="1" applyAlignment="1">
      <alignment vertical="center" wrapText="1"/>
    </xf>
    <xf numFmtId="0" fontId="37" fillId="0" borderId="0" xfId="64" applyFont="1">
      <alignment/>
      <protection/>
    </xf>
    <xf numFmtId="3" fontId="8" fillId="0" borderId="29" xfId="64" applyNumberFormat="1" applyFont="1" applyBorder="1">
      <alignment/>
      <protection/>
    </xf>
    <xf numFmtId="3" fontId="9" fillId="34" borderId="40" xfId="46" applyNumberFormat="1" applyFont="1" applyFill="1" applyBorder="1" applyAlignment="1">
      <alignment horizontal="right"/>
    </xf>
    <xf numFmtId="3" fontId="9" fillId="34" borderId="36" xfId="46" applyNumberFormat="1" applyFont="1" applyFill="1" applyBorder="1" applyAlignment="1">
      <alignment horizontal="right"/>
    </xf>
    <xf numFmtId="3" fontId="9" fillId="0" borderId="37" xfId="46" applyNumberFormat="1" applyFont="1" applyFill="1" applyBorder="1" applyAlignment="1">
      <alignment horizontal="right"/>
    </xf>
    <xf numFmtId="3" fontId="9" fillId="0" borderId="36" xfId="46" applyNumberFormat="1" applyFont="1" applyFill="1" applyBorder="1" applyAlignment="1">
      <alignment horizontal="right"/>
    </xf>
    <xf numFmtId="3" fontId="8" fillId="0" borderId="30" xfId="46" applyNumberFormat="1" applyFont="1" applyBorder="1" applyAlignment="1">
      <alignment horizontal="right"/>
    </xf>
    <xf numFmtId="0" fontId="8" fillId="0" borderId="101" xfId="62" applyFont="1" applyBorder="1">
      <alignment/>
      <protection/>
    </xf>
    <xf numFmtId="0" fontId="18" fillId="0" borderId="63" xfId="0" applyFont="1" applyFill="1" applyBorder="1" applyAlignment="1">
      <alignment vertical="center"/>
    </xf>
    <xf numFmtId="3" fontId="9" fillId="35" borderId="57" xfId="0" applyNumberFormat="1" applyFont="1" applyFill="1" applyBorder="1" applyAlignment="1">
      <alignment vertical="center"/>
    </xf>
    <xf numFmtId="0" fontId="0" fillId="0" borderId="85" xfId="0" applyBorder="1" applyAlignment="1">
      <alignment/>
    </xf>
    <xf numFmtId="0" fontId="0" fillId="0" borderId="63" xfId="0" applyBorder="1" applyAlignment="1">
      <alignment/>
    </xf>
    <xf numFmtId="3" fontId="8" fillId="0" borderId="65" xfId="0" applyNumberFormat="1" applyFont="1" applyBorder="1" applyAlignment="1">
      <alignment wrapText="1"/>
    </xf>
    <xf numFmtId="3" fontId="8" fillId="0" borderId="65" xfId="0" applyNumberFormat="1" applyFont="1" applyFill="1" applyBorder="1" applyAlignment="1">
      <alignment/>
    </xf>
    <xf numFmtId="0" fontId="8" fillId="0" borderId="8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0" fillId="0" borderId="66" xfId="0" applyBorder="1" applyAlignment="1">
      <alignment/>
    </xf>
    <xf numFmtId="3" fontId="8" fillId="0" borderId="92" xfId="0" applyNumberFormat="1" applyFont="1" applyBorder="1" applyAlignment="1">
      <alignment/>
    </xf>
    <xf numFmtId="3" fontId="8" fillId="0" borderId="68" xfId="0" applyNumberFormat="1" applyFont="1" applyBorder="1" applyAlignment="1">
      <alignment wrapText="1"/>
    </xf>
    <xf numFmtId="0" fontId="1" fillId="38" borderId="60" xfId="0" applyFont="1" applyFill="1" applyBorder="1" applyAlignment="1">
      <alignment/>
    </xf>
    <xf numFmtId="0" fontId="9" fillId="38" borderId="57" xfId="60" applyFont="1" applyFill="1" applyBorder="1" applyAlignment="1">
      <alignment vertical="center" wrapText="1"/>
      <protection/>
    </xf>
    <xf numFmtId="3" fontId="9" fillId="38" borderId="57" xfId="0" applyNumberFormat="1" applyFont="1" applyFill="1" applyBorder="1" applyAlignment="1">
      <alignment/>
    </xf>
    <xf numFmtId="3" fontId="9" fillId="38" borderId="67" xfId="0" applyNumberFormat="1" applyFont="1" applyFill="1" applyBorder="1" applyAlignment="1">
      <alignment/>
    </xf>
    <xf numFmtId="0" fontId="8" fillId="0" borderId="92" xfId="0" applyFont="1" applyFill="1" applyBorder="1" applyAlignment="1">
      <alignment vertical="center"/>
    </xf>
    <xf numFmtId="0" fontId="8" fillId="0" borderId="88" xfId="0" applyFont="1" applyFill="1" applyBorder="1" applyAlignment="1">
      <alignment vertical="center"/>
    </xf>
    <xf numFmtId="3" fontId="8" fillId="0" borderId="88" xfId="0" applyNumberFormat="1" applyFont="1" applyFill="1" applyBorder="1" applyAlignment="1">
      <alignment/>
    </xf>
    <xf numFmtId="3" fontId="8" fillId="0" borderId="89" xfId="0" applyNumberFormat="1" applyFont="1" applyBorder="1" applyAlignment="1">
      <alignment wrapText="1"/>
    </xf>
    <xf numFmtId="3" fontId="9" fillId="38" borderId="67" xfId="0" applyNumberFormat="1" applyFont="1" applyFill="1" applyBorder="1" applyAlignment="1">
      <alignment wrapText="1"/>
    </xf>
    <xf numFmtId="3" fontId="8" fillId="0" borderId="84" xfId="0" applyNumberFormat="1" applyFont="1" applyBorder="1" applyAlignment="1">
      <alignment wrapText="1"/>
    </xf>
    <xf numFmtId="0" fontId="1" fillId="38" borderId="21" xfId="0" applyFont="1" applyFill="1" applyBorder="1" applyAlignment="1">
      <alignment/>
    </xf>
    <xf numFmtId="0" fontId="9" fillId="38" borderId="16" xfId="60" applyFont="1" applyFill="1" applyBorder="1" applyAlignment="1">
      <alignment vertical="center" wrapText="1"/>
      <protection/>
    </xf>
    <xf numFmtId="3" fontId="9" fillId="38" borderId="16" xfId="0" applyNumberFormat="1" applyFont="1" applyFill="1" applyBorder="1" applyAlignment="1">
      <alignment/>
    </xf>
    <xf numFmtId="3" fontId="9" fillId="0" borderId="64" xfId="0" applyNumberFormat="1" applyFont="1" applyBorder="1" applyAlignment="1">
      <alignment/>
    </xf>
    <xf numFmtId="0" fontId="0" fillId="0" borderId="86" xfId="0" applyBorder="1" applyAlignment="1">
      <alignment/>
    </xf>
    <xf numFmtId="0" fontId="8" fillId="0" borderId="87" xfId="0" applyFont="1" applyFill="1" applyBorder="1" applyAlignment="1">
      <alignment vertical="center"/>
    </xf>
    <xf numFmtId="3" fontId="8" fillId="0" borderId="96" xfId="0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60" applyFont="1" applyFill="1" applyBorder="1" applyAlignment="1">
      <alignment vertical="center" wrapText="1"/>
      <protection/>
    </xf>
    <xf numFmtId="3" fontId="9" fillId="0" borderId="0" xfId="0" applyNumberFormat="1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9" fillId="0" borderId="57" xfId="60" applyFont="1" applyFill="1" applyBorder="1" applyAlignment="1">
      <alignment vertical="center" wrapText="1"/>
      <protection/>
    </xf>
    <xf numFmtId="3" fontId="9" fillId="0" borderId="57" xfId="0" applyNumberFormat="1" applyFont="1" applyFill="1" applyBorder="1" applyAlignment="1">
      <alignment/>
    </xf>
    <xf numFmtId="3" fontId="8" fillId="0" borderId="0" xfId="46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9" fontId="8" fillId="0" borderId="0" xfId="0" applyNumberFormat="1" applyFont="1" applyBorder="1" applyAlignment="1">
      <alignment/>
    </xf>
    <xf numFmtId="3" fontId="8" fillId="0" borderId="87" xfId="46" applyNumberFormat="1" applyFont="1" applyBorder="1" applyAlignment="1">
      <alignment horizontal="right" vertical="center" wrapText="1"/>
    </xf>
    <xf numFmtId="0" fontId="15" fillId="0" borderId="60" xfId="0" applyFont="1" applyFill="1" applyBorder="1" applyAlignment="1">
      <alignment vertical="center"/>
    </xf>
    <xf numFmtId="0" fontId="9" fillId="0" borderId="57" xfId="0" applyFont="1" applyFill="1" applyBorder="1" applyAlignment="1">
      <alignment vertical="center"/>
    </xf>
    <xf numFmtId="3" fontId="9" fillId="0" borderId="57" xfId="0" applyNumberFormat="1" applyFont="1" applyFill="1" applyBorder="1" applyAlignment="1">
      <alignment vertical="center"/>
    </xf>
    <xf numFmtId="9" fontId="9" fillId="0" borderId="67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102" xfId="0" applyFont="1" applyFill="1" applyBorder="1" applyAlignment="1">
      <alignment vertical="center"/>
    </xf>
    <xf numFmtId="0" fontId="9" fillId="0" borderId="103" xfId="0" applyFont="1" applyFill="1" applyBorder="1" applyAlignment="1">
      <alignment vertical="center"/>
    </xf>
    <xf numFmtId="3" fontId="9" fillId="0" borderId="103" xfId="0" applyNumberFormat="1" applyFont="1" applyFill="1" applyBorder="1" applyAlignment="1">
      <alignment vertical="center"/>
    </xf>
    <xf numFmtId="9" fontId="9" fillId="0" borderId="104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9" fontId="9" fillId="0" borderId="31" xfId="0" applyNumberFormat="1" applyFont="1" applyFill="1" applyBorder="1" applyAlignment="1">
      <alignment vertical="center"/>
    </xf>
    <xf numFmtId="0" fontId="15" fillId="0" borderId="8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9" fontId="9" fillId="0" borderId="105" xfId="79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9" fontId="9" fillId="0" borderId="105" xfId="0" applyNumberFormat="1" applyFont="1" applyFill="1" applyBorder="1" applyAlignment="1">
      <alignment vertical="center"/>
    </xf>
    <xf numFmtId="3" fontId="8" fillId="0" borderId="83" xfId="0" applyNumberFormat="1" applyFont="1" applyBorder="1" applyAlignment="1">
      <alignment vertical="center"/>
    </xf>
    <xf numFmtId="3" fontId="8" fillId="0" borderId="64" xfId="0" applyNumberFormat="1" applyFont="1" applyFill="1" applyBorder="1" applyAlignment="1">
      <alignment horizontal="right" vertical="center"/>
    </xf>
    <xf numFmtId="0" fontId="13" fillId="0" borderId="64" xfId="0" applyFont="1" applyFill="1" applyBorder="1" applyAlignment="1">
      <alignment vertical="center"/>
    </xf>
    <xf numFmtId="3" fontId="9" fillId="0" borderId="57" xfId="0" applyNumberFormat="1" applyFont="1" applyFill="1" applyBorder="1" applyAlignment="1">
      <alignment vertical="center"/>
    </xf>
    <xf numFmtId="0" fontId="15" fillId="0" borderId="60" xfId="0" applyFont="1" applyFill="1" applyBorder="1" applyAlignment="1">
      <alignment vertical="center" wrapText="1"/>
    </xf>
    <xf numFmtId="0" fontId="8" fillId="0" borderId="85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11" fillId="0" borderId="64" xfId="0" applyFont="1" applyBorder="1" applyAlignment="1">
      <alignment/>
    </xf>
    <xf numFmtId="3" fontId="11" fillId="0" borderId="64" xfId="0" applyNumberFormat="1" applyFont="1" applyBorder="1" applyAlignment="1">
      <alignment/>
    </xf>
    <xf numFmtId="9" fontId="11" fillId="0" borderId="65" xfId="79" applyFont="1" applyBorder="1" applyAlignment="1">
      <alignment/>
    </xf>
    <xf numFmtId="0" fontId="8" fillId="0" borderId="97" xfId="0" applyFont="1" applyBorder="1" applyAlignment="1">
      <alignment horizontal="center"/>
    </xf>
    <xf numFmtId="0" fontId="11" fillId="0" borderId="88" xfId="0" applyFont="1" applyBorder="1" applyAlignment="1">
      <alignment/>
    </xf>
    <xf numFmtId="174" fontId="9" fillId="0" borderId="88" xfId="46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3" fontId="11" fillId="0" borderId="92" xfId="0" applyNumberFormat="1" applyFont="1" applyBorder="1" applyAlignment="1">
      <alignment/>
    </xf>
    <xf numFmtId="9" fontId="11" fillId="0" borderId="68" xfId="79" applyFont="1" applyBorder="1" applyAlignment="1">
      <alignment/>
    </xf>
    <xf numFmtId="3" fontId="11" fillId="0" borderId="57" xfId="0" applyNumberFormat="1" applyFont="1" applyBorder="1" applyAlignment="1">
      <alignment/>
    </xf>
    <xf numFmtId="0" fontId="8" fillId="0" borderId="63" xfId="0" applyFont="1" applyFill="1" applyBorder="1" applyAlignment="1">
      <alignment horizontal="center"/>
    </xf>
    <xf numFmtId="0" fontId="9" fillId="0" borderId="64" xfId="60" applyFont="1" applyFill="1" applyBorder="1" applyAlignment="1">
      <alignment vertical="center" wrapText="1"/>
      <protection/>
    </xf>
    <xf numFmtId="0" fontId="8" fillId="0" borderId="66" xfId="0" applyFont="1" applyFill="1" applyBorder="1" applyAlignment="1">
      <alignment horizontal="center"/>
    </xf>
    <xf numFmtId="3" fontId="11" fillId="0" borderId="64" xfId="0" applyNumberFormat="1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6" xfId="0" applyFill="1" applyBorder="1" applyAlignment="1">
      <alignment/>
    </xf>
    <xf numFmtId="3" fontId="10" fillId="0" borderId="64" xfId="0" applyNumberFormat="1" applyFont="1" applyBorder="1" applyAlignment="1">
      <alignment/>
    </xf>
    <xf numFmtId="3" fontId="11" fillId="0" borderId="88" xfId="0" applyNumberFormat="1" applyFont="1" applyBorder="1" applyAlignment="1">
      <alignment/>
    </xf>
    <xf numFmtId="9" fontId="11" fillId="0" borderId="89" xfId="79" applyFont="1" applyBorder="1" applyAlignment="1">
      <alignment/>
    </xf>
    <xf numFmtId="3" fontId="10" fillId="0" borderId="83" xfId="0" applyNumberFormat="1" applyFont="1" applyBorder="1" applyAlignment="1">
      <alignment/>
    </xf>
    <xf numFmtId="3" fontId="11" fillId="0" borderId="83" xfId="0" applyNumberFormat="1" applyFont="1" applyBorder="1" applyAlignment="1">
      <alignment/>
    </xf>
    <xf numFmtId="9" fontId="11" fillId="0" borderId="84" xfId="79" applyFont="1" applyBorder="1" applyAlignment="1">
      <alignment/>
    </xf>
    <xf numFmtId="0" fontId="8" fillId="0" borderId="60" xfId="0" applyFont="1" applyBorder="1" applyAlignment="1">
      <alignment/>
    </xf>
    <xf numFmtId="3" fontId="11" fillId="0" borderId="88" xfId="0" applyNumberFormat="1" applyFont="1" applyFill="1" applyBorder="1" applyAlignment="1">
      <alignment/>
    </xf>
    <xf numFmtId="0" fontId="8" fillId="0" borderId="60" xfId="0" applyFont="1" applyFill="1" applyBorder="1" applyAlignment="1">
      <alignment horizontal="center"/>
    </xf>
    <xf numFmtId="0" fontId="0" fillId="0" borderId="85" xfId="0" applyFill="1" applyBorder="1" applyAlignment="1">
      <alignment/>
    </xf>
    <xf numFmtId="3" fontId="9" fillId="0" borderId="64" xfId="0" applyNumberFormat="1" applyFont="1" applyFill="1" applyBorder="1" applyAlignment="1">
      <alignment/>
    </xf>
    <xf numFmtId="3" fontId="8" fillId="0" borderId="92" xfId="0" applyNumberFormat="1" applyFont="1" applyFill="1" applyBorder="1" applyAlignment="1">
      <alignment/>
    </xf>
    <xf numFmtId="0" fontId="0" fillId="0" borderId="97" xfId="0" applyFill="1" applyBorder="1" applyAlignment="1">
      <alignment/>
    </xf>
    <xf numFmtId="3" fontId="8" fillId="0" borderId="83" xfId="46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3" fontId="9" fillId="0" borderId="64" xfId="46" applyNumberFormat="1" applyFont="1" applyBorder="1" applyAlignment="1">
      <alignment horizontal="right" vertical="center" wrapText="1"/>
    </xf>
    <xf numFmtId="3" fontId="8" fillId="0" borderId="64" xfId="46" applyNumberFormat="1" applyFont="1" applyBorder="1" applyAlignment="1">
      <alignment horizontal="right" vertical="center" wrapText="1"/>
    </xf>
    <xf numFmtId="3" fontId="8" fillId="0" borderId="65" xfId="46" applyNumberFormat="1" applyFont="1" applyBorder="1" applyAlignment="1">
      <alignment horizontal="right" vertical="center" wrapText="1"/>
    </xf>
    <xf numFmtId="0" fontId="0" fillId="0" borderId="86" xfId="0" applyFill="1" applyBorder="1" applyAlignment="1">
      <alignment/>
    </xf>
    <xf numFmtId="3" fontId="8" fillId="0" borderId="83" xfId="0" applyNumberFormat="1" applyFont="1" applyFill="1" applyBorder="1" applyAlignment="1">
      <alignment/>
    </xf>
    <xf numFmtId="3" fontId="8" fillId="0" borderId="84" xfId="0" applyNumberFormat="1" applyFont="1" applyFill="1" applyBorder="1" applyAlignment="1">
      <alignment/>
    </xf>
    <xf numFmtId="3" fontId="9" fillId="0" borderId="64" xfId="0" applyNumberFormat="1" applyFont="1" applyFill="1" applyBorder="1" applyAlignment="1">
      <alignment/>
    </xf>
    <xf numFmtId="3" fontId="9" fillId="0" borderId="57" xfId="0" applyNumberFormat="1" applyFont="1" applyFill="1" applyBorder="1" applyAlignment="1">
      <alignment/>
    </xf>
    <xf numFmtId="3" fontId="9" fillId="0" borderId="57" xfId="46" applyNumberFormat="1" applyFont="1" applyBorder="1" applyAlignment="1">
      <alignment horizontal="right" vertical="center" wrapText="1"/>
    </xf>
    <xf numFmtId="174" fontId="8" fillId="0" borderId="88" xfId="46" applyNumberFormat="1" applyFont="1" applyBorder="1" applyAlignment="1">
      <alignment horizontal="center" vertical="center" wrapText="1"/>
    </xf>
    <xf numFmtId="3" fontId="10" fillId="0" borderId="57" xfId="0" applyNumberFormat="1" applyFont="1" applyBorder="1" applyAlignment="1">
      <alignment/>
    </xf>
    <xf numFmtId="9" fontId="8" fillId="0" borderId="89" xfId="79" applyFont="1" applyBorder="1" applyAlignment="1">
      <alignment horizontal="right" vertical="center" wrapText="1"/>
    </xf>
    <xf numFmtId="9" fontId="11" fillId="0" borderId="0" xfId="79" applyFont="1" applyAlignment="1">
      <alignment/>
    </xf>
    <xf numFmtId="3" fontId="11" fillId="0" borderId="0" xfId="0" applyNumberFormat="1" applyFont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35" xfId="0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9" fontId="10" fillId="0" borderId="65" xfId="79" applyFont="1" applyBorder="1" applyAlignment="1">
      <alignment/>
    </xf>
    <xf numFmtId="9" fontId="10" fillId="0" borderId="67" xfId="79" applyFont="1" applyBorder="1" applyAlignment="1">
      <alignment/>
    </xf>
    <xf numFmtId="3" fontId="9" fillId="0" borderId="65" xfId="46" applyNumberFormat="1" applyFont="1" applyBorder="1" applyAlignment="1">
      <alignment horizontal="right" vertical="center" wrapText="1"/>
    </xf>
    <xf numFmtId="3" fontId="9" fillId="0" borderId="65" xfId="0" applyNumberFormat="1" applyFont="1" applyFill="1" applyBorder="1" applyAlignment="1">
      <alignment/>
    </xf>
    <xf numFmtId="3" fontId="9" fillId="0" borderId="65" xfId="0" applyNumberFormat="1" applyFont="1" applyFill="1" applyBorder="1" applyAlignment="1">
      <alignment/>
    </xf>
    <xf numFmtId="3" fontId="8" fillId="0" borderId="83" xfId="0" applyNumberFormat="1" applyFont="1" applyFill="1" applyBorder="1" applyAlignment="1">
      <alignment vertical="center"/>
    </xf>
    <xf numFmtId="0" fontId="38" fillId="0" borderId="64" xfId="60" applyFont="1" applyFill="1" applyBorder="1">
      <alignment/>
      <protection/>
    </xf>
    <xf numFmtId="0" fontId="39" fillId="37" borderId="64" xfId="60" applyFont="1" applyFill="1" applyBorder="1" applyAlignment="1">
      <alignment wrapText="1"/>
      <protection/>
    </xf>
    <xf numFmtId="0" fontId="39" fillId="37" borderId="92" xfId="60" applyFont="1" applyFill="1" applyBorder="1" applyAlignment="1">
      <alignment wrapText="1"/>
      <protection/>
    </xf>
    <xf numFmtId="3" fontId="39" fillId="33" borderId="57" xfId="0" applyNumberFormat="1" applyFont="1" applyFill="1" applyBorder="1" applyAlignment="1">
      <alignment vertical="center" wrapText="1"/>
    </xf>
    <xf numFmtId="3" fontId="38" fillId="0" borderId="0" xfId="0" applyNumberFormat="1" applyFont="1" applyAlignment="1">
      <alignment/>
    </xf>
    <xf numFmtId="3" fontId="39" fillId="37" borderId="64" xfId="0" applyNumberFormat="1" applyFont="1" applyFill="1" applyBorder="1" applyAlignment="1">
      <alignment horizontal="right" vertical="center" wrapText="1"/>
    </xf>
    <xf numFmtId="3" fontId="38" fillId="0" borderId="64" xfId="0" applyNumberFormat="1" applyFont="1" applyBorder="1" applyAlignment="1">
      <alignment/>
    </xf>
    <xf numFmtId="174" fontId="38" fillId="0" borderId="64" xfId="46" applyNumberFormat="1" applyFont="1" applyBorder="1" applyAlignment="1">
      <alignment horizontal="right"/>
    </xf>
    <xf numFmtId="9" fontId="38" fillId="0" borderId="65" xfId="79" applyFont="1" applyBorder="1" applyAlignment="1">
      <alignment/>
    </xf>
    <xf numFmtId="3" fontId="38" fillId="0" borderId="65" xfId="0" applyNumberFormat="1" applyFont="1" applyBorder="1" applyAlignment="1">
      <alignment/>
    </xf>
    <xf numFmtId="3" fontId="39" fillId="37" borderId="64" xfId="0" applyNumberFormat="1" applyFont="1" applyFill="1" applyBorder="1" applyAlignment="1">
      <alignment/>
    </xf>
    <xf numFmtId="9" fontId="39" fillId="37" borderId="65" xfId="79" applyFont="1" applyFill="1" applyBorder="1" applyAlignment="1">
      <alignment/>
    </xf>
    <xf numFmtId="174" fontId="39" fillId="37" borderId="64" xfId="46" applyNumberFormat="1" applyFont="1" applyFill="1" applyBorder="1" applyAlignment="1">
      <alignment horizontal="right" vertical="center" wrapText="1"/>
    </xf>
    <xf numFmtId="174" fontId="38" fillId="0" borderId="64" xfId="46" applyNumberFormat="1" applyFont="1" applyBorder="1" applyAlignment="1">
      <alignment horizontal="right" vertical="center" wrapText="1"/>
    </xf>
    <xf numFmtId="3" fontId="39" fillId="37" borderId="92" xfId="0" applyNumberFormat="1" applyFont="1" applyFill="1" applyBorder="1" applyAlignment="1">
      <alignment/>
    </xf>
    <xf numFmtId="9" fontId="39" fillId="37" borderId="68" xfId="79" applyFont="1" applyFill="1" applyBorder="1" applyAlignment="1">
      <alignment/>
    </xf>
    <xf numFmtId="9" fontId="39" fillId="33" borderId="67" xfId="79" applyFont="1" applyFill="1" applyBorder="1" applyAlignment="1">
      <alignment vertical="center" wrapText="1"/>
    </xf>
    <xf numFmtId="0" fontId="41" fillId="37" borderId="97" xfId="70" applyFont="1" applyFill="1" applyBorder="1">
      <alignment/>
      <protection/>
    </xf>
    <xf numFmtId="0" fontId="39" fillId="37" borderId="88" xfId="60" applyFont="1" applyFill="1" applyBorder="1" applyAlignment="1">
      <alignment wrapText="1"/>
      <protection/>
    </xf>
    <xf numFmtId="3" fontId="39" fillId="37" borderId="88" xfId="0" applyNumberFormat="1" applyFont="1" applyFill="1" applyBorder="1" applyAlignment="1">
      <alignment horizontal="right" vertical="center" wrapText="1"/>
    </xf>
    <xf numFmtId="0" fontId="42" fillId="0" borderId="63" xfId="70" applyFont="1" applyBorder="1">
      <alignment/>
      <protection/>
    </xf>
    <xf numFmtId="0" fontId="38" fillId="0" borderId="64" xfId="60" applyFont="1" applyFill="1" applyBorder="1" applyAlignment="1">
      <alignment horizontal="left" indent="1"/>
      <protection/>
    </xf>
    <xf numFmtId="174" fontId="38" fillId="0" borderId="64" xfId="46" applyNumberFormat="1" applyFont="1" applyBorder="1" applyAlignment="1">
      <alignment horizontal="center" vertical="center" wrapText="1"/>
    </xf>
    <xf numFmtId="3" fontId="38" fillId="0" borderId="64" xfId="0" applyNumberFormat="1" applyFont="1" applyBorder="1" applyAlignment="1">
      <alignment horizontal="right" vertical="center" wrapText="1"/>
    </xf>
    <xf numFmtId="0" fontId="41" fillId="37" borderId="63" xfId="70" applyFont="1" applyFill="1" applyBorder="1">
      <alignment/>
      <protection/>
    </xf>
    <xf numFmtId="0" fontId="42" fillId="0" borderId="63" xfId="70" applyFont="1" applyFill="1" applyBorder="1">
      <alignment/>
      <protection/>
    </xf>
    <xf numFmtId="0" fontId="38" fillId="0" borderId="106" xfId="60" applyFont="1" applyFill="1" applyBorder="1">
      <alignment/>
      <protection/>
    </xf>
    <xf numFmtId="3" fontId="38" fillId="0" borderId="64" xfId="0" applyNumberFormat="1" applyFont="1" applyBorder="1" applyAlignment="1">
      <alignment vertical="center"/>
    </xf>
    <xf numFmtId="0" fontId="41" fillId="37" borderId="66" xfId="70" applyFont="1" applyFill="1" applyBorder="1">
      <alignment/>
      <protection/>
    </xf>
    <xf numFmtId="3" fontId="39" fillId="33" borderId="60" xfId="0" applyNumberFormat="1" applyFont="1" applyFill="1" applyBorder="1" applyAlignment="1">
      <alignment vertical="center" wrapText="1"/>
    </xf>
    <xf numFmtId="0" fontId="38" fillId="0" borderId="106" xfId="60" applyFont="1" applyFill="1" applyBorder="1" applyAlignment="1">
      <alignment vertical="top" wrapText="1"/>
      <protection/>
    </xf>
    <xf numFmtId="9" fontId="39" fillId="37" borderId="89" xfId="79" applyFont="1" applyFill="1" applyBorder="1" applyAlignment="1">
      <alignment wrapText="1"/>
    </xf>
    <xf numFmtId="9" fontId="9" fillId="37" borderId="89" xfId="79" applyFont="1" applyFill="1" applyBorder="1" applyAlignment="1">
      <alignment vertical="center" wrapText="1"/>
    </xf>
    <xf numFmtId="0" fontId="9" fillId="37" borderId="85" xfId="0" applyFont="1" applyFill="1" applyBorder="1" applyAlignment="1">
      <alignment vertical="center" wrapText="1"/>
    </xf>
    <xf numFmtId="0" fontId="9" fillId="37" borderId="83" xfId="70" applyFont="1" applyFill="1" applyBorder="1" applyAlignment="1">
      <alignment vertical="center" wrapText="1"/>
      <protection/>
    </xf>
    <xf numFmtId="9" fontId="9" fillId="37" borderId="84" xfId="79" applyFont="1" applyFill="1" applyBorder="1" applyAlignment="1">
      <alignment vertical="center" wrapText="1"/>
    </xf>
    <xf numFmtId="174" fontId="39" fillId="0" borderId="36" xfId="46" applyNumberFormat="1" applyFont="1" applyBorder="1" applyAlignment="1">
      <alignment horizontal="center" vertical="center" wrapText="1"/>
    </xf>
    <xf numFmtId="174" fontId="39" fillId="0" borderId="37" xfId="46" applyNumberFormat="1" applyFont="1" applyBorder="1" applyAlignment="1">
      <alignment horizontal="center" vertical="center" wrapText="1"/>
    </xf>
    <xf numFmtId="3" fontId="39" fillId="0" borderId="107" xfId="0" applyNumberFormat="1" applyFont="1" applyBorder="1" applyAlignment="1">
      <alignment vertical="center"/>
    </xf>
    <xf numFmtId="3" fontId="38" fillId="0" borderId="108" xfId="0" applyNumberFormat="1" applyFont="1" applyBorder="1" applyAlignment="1">
      <alignment vertical="center"/>
    </xf>
    <xf numFmtId="3" fontId="43" fillId="0" borderId="109" xfId="0" applyNumberFormat="1" applyFont="1" applyBorder="1" applyAlignment="1">
      <alignment vertical="center"/>
    </xf>
    <xf numFmtId="3" fontId="38" fillId="0" borderId="110" xfId="0" applyNumberFormat="1" applyFont="1" applyBorder="1" applyAlignment="1">
      <alignment vertical="center"/>
    </xf>
    <xf numFmtId="0" fontId="38" fillId="0" borderId="80" xfId="0" applyFont="1" applyFill="1" applyBorder="1" applyAlignment="1">
      <alignment vertical="center" wrapText="1"/>
    </xf>
    <xf numFmtId="174" fontId="38" fillId="0" borderId="69" xfId="46" applyNumberFormat="1" applyFont="1" applyBorder="1" applyAlignment="1">
      <alignment horizontal="right" vertical="center" wrapText="1"/>
    </xf>
    <xf numFmtId="174" fontId="38" fillId="0" borderId="85" xfId="46" applyNumberFormat="1" applyFont="1" applyBorder="1" applyAlignment="1">
      <alignment horizontal="right" vertical="center" wrapText="1"/>
    </xf>
    <xf numFmtId="174" fontId="38" fillId="0" borderId="83" xfId="46" applyNumberFormat="1" applyFont="1" applyBorder="1" applyAlignment="1">
      <alignment horizontal="right" vertical="center" wrapText="1"/>
    </xf>
    <xf numFmtId="0" fontId="39" fillId="0" borderId="37" xfId="0" applyFont="1" applyBorder="1" applyAlignment="1">
      <alignment vertical="center" wrapText="1"/>
    </xf>
    <xf numFmtId="9" fontId="38" fillId="0" borderId="0" xfId="79" applyFont="1" applyAlignment="1">
      <alignment/>
    </xf>
    <xf numFmtId="3" fontId="8" fillId="0" borderId="87" xfId="0" applyNumberFormat="1" applyFont="1" applyBorder="1" applyAlignment="1">
      <alignment vertical="center"/>
    </xf>
    <xf numFmtId="3" fontId="38" fillId="0" borderId="0" xfId="0" applyNumberFormat="1" applyFont="1" applyAlignment="1">
      <alignment horizontal="center"/>
    </xf>
    <xf numFmtId="174" fontId="38" fillId="0" borderId="64" xfId="46" applyNumberFormat="1" applyFont="1" applyFill="1" applyBorder="1" applyAlignment="1">
      <alignment horizontal="right"/>
    </xf>
    <xf numFmtId="174" fontId="38" fillId="0" borderId="64" xfId="46" applyNumberFormat="1" applyFont="1" applyFill="1" applyBorder="1" applyAlignment="1">
      <alignment/>
    </xf>
    <xf numFmtId="9" fontId="44" fillId="0" borderId="71" xfId="79" applyFont="1" applyBorder="1" applyAlignment="1">
      <alignment/>
    </xf>
    <xf numFmtId="0" fontId="39" fillId="0" borderId="60" xfId="65" applyFont="1" applyFill="1" applyBorder="1" applyAlignment="1">
      <alignment vertical="top" wrapText="1"/>
      <protection/>
    </xf>
    <xf numFmtId="0" fontId="44" fillId="0" borderId="0" xfId="72" applyFont="1">
      <alignment/>
      <protection/>
    </xf>
    <xf numFmtId="0" fontId="38" fillId="0" borderId="0" xfId="72" applyFont="1">
      <alignment/>
      <protection/>
    </xf>
    <xf numFmtId="0" fontId="46" fillId="0" borderId="0" xfId="65" applyFont="1">
      <alignment/>
      <protection/>
    </xf>
    <xf numFmtId="3" fontId="38" fillId="0" borderId="64" xfId="0" applyNumberFormat="1" applyFont="1" applyBorder="1" applyAlignment="1">
      <alignment horizontal="right"/>
    </xf>
    <xf numFmtId="9" fontId="38" fillId="0" borderId="65" xfId="79" applyFont="1" applyBorder="1" applyAlignment="1">
      <alignment horizontal="right"/>
    </xf>
    <xf numFmtId="3" fontId="38" fillId="0" borderId="0" xfId="0" applyNumberFormat="1" applyFont="1" applyAlignment="1">
      <alignment horizontal="left"/>
    </xf>
    <xf numFmtId="0" fontId="8" fillId="0" borderId="106" xfId="60" applyFont="1" applyFill="1" applyBorder="1" applyAlignment="1">
      <alignment vertical="center" wrapText="1"/>
      <protection/>
    </xf>
    <xf numFmtId="0" fontId="8" fillId="0" borderId="106" xfId="60" applyFont="1" applyFill="1" applyBorder="1" applyAlignment="1">
      <alignment wrapText="1"/>
      <protection/>
    </xf>
    <xf numFmtId="0" fontId="14" fillId="0" borderId="63" xfId="0" applyFont="1" applyBorder="1" applyAlignment="1">
      <alignment vertical="center" wrapText="1"/>
    </xf>
    <xf numFmtId="0" fontId="14" fillId="0" borderId="64" xfId="60" applyFont="1" applyFill="1" applyBorder="1" applyAlignment="1">
      <alignment wrapText="1"/>
      <protection/>
    </xf>
    <xf numFmtId="0" fontId="8" fillId="0" borderId="111" xfId="60" applyFont="1" applyFill="1" applyBorder="1" applyAlignment="1">
      <alignment wrapText="1"/>
      <protection/>
    </xf>
    <xf numFmtId="3" fontId="8" fillId="0" borderId="96" xfId="0" applyNumberFormat="1" applyFont="1" applyBorder="1" applyAlignment="1">
      <alignment vertical="center"/>
    </xf>
    <xf numFmtId="3" fontId="8" fillId="0" borderId="83" xfId="0" applyNumberFormat="1" applyFont="1" applyBorder="1" applyAlignment="1">
      <alignment/>
    </xf>
    <xf numFmtId="3" fontId="8" fillId="0" borderId="65" xfId="0" applyNumberFormat="1" applyFont="1" applyBorder="1" applyAlignment="1">
      <alignment wrapText="1"/>
    </xf>
    <xf numFmtId="3" fontId="8" fillId="0" borderId="65" xfId="69" applyNumberFormat="1" applyFont="1" applyBorder="1" applyAlignment="1">
      <alignment vertical="center"/>
      <protection/>
    </xf>
    <xf numFmtId="3" fontId="9" fillId="0" borderId="67" xfId="0" applyNumberFormat="1" applyFont="1" applyBorder="1" applyAlignment="1">
      <alignment vertical="center"/>
    </xf>
    <xf numFmtId="3" fontId="8" fillId="0" borderId="45" xfId="64" applyNumberFormat="1" applyFont="1" applyFill="1" applyBorder="1">
      <alignment/>
      <protection/>
    </xf>
    <xf numFmtId="0" fontId="45" fillId="38" borderId="60" xfId="0" applyFont="1" applyFill="1" applyBorder="1" applyAlignment="1">
      <alignment vertical="center"/>
    </xf>
    <xf numFmtId="0" fontId="39" fillId="38" borderId="57" xfId="0" applyFont="1" applyFill="1" applyBorder="1" applyAlignment="1">
      <alignment vertical="center"/>
    </xf>
    <xf numFmtId="3" fontId="39" fillId="38" borderId="57" xfId="0" applyNumberFormat="1" applyFont="1" applyFill="1" applyBorder="1" applyAlignment="1">
      <alignment vertical="center"/>
    </xf>
    <xf numFmtId="9" fontId="39" fillId="38" borderId="67" xfId="0" applyNumberFormat="1" applyFont="1" applyFill="1" applyBorder="1" applyAlignment="1">
      <alignment vertical="center"/>
    </xf>
    <xf numFmtId="0" fontId="39" fillId="38" borderId="57" xfId="0" applyFont="1" applyFill="1" applyBorder="1" applyAlignment="1">
      <alignment vertical="center" wrapText="1"/>
    </xf>
    <xf numFmtId="0" fontId="38" fillId="0" borderId="57" xfId="0" applyFont="1" applyFill="1" applyBorder="1" applyAlignment="1">
      <alignment vertical="center"/>
    </xf>
    <xf numFmtId="0" fontId="45" fillId="38" borderId="21" xfId="0" applyFont="1" applyFill="1" applyBorder="1" applyAlignment="1">
      <alignment vertical="center"/>
    </xf>
    <xf numFmtId="0" fontId="39" fillId="38" borderId="16" xfId="0" applyFont="1" applyFill="1" applyBorder="1" applyAlignment="1">
      <alignment vertical="center"/>
    </xf>
    <xf numFmtId="3" fontId="39" fillId="38" borderId="16" xfId="0" applyNumberFormat="1" applyFont="1" applyFill="1" applyBorder="1" applyAlignment="1">
      <alignment vertical="center"/>
    </xf>
    <xf numFmtId="9" fontId="39" fillId="38" borderId="17" xfId="0" applyNumberFormat="1" applyFont="1" applyFill="1" applyBorder="1" applyAlignment="1">
      <alignment vertical="center"/>
    </xf>
    <xf numFmtId="0" fontId="38" fillId="0" borderId="63" xfId="0" applyFont="1" applyFill="1" applyBorder="1" applyAlignment="1">
      <alignment vertical="center" wrapText="1"/>
    </xf>
    <xf numFmtId="3" fontId="38" fillId="0" borderId="64" xfId="0" applyNumberFormat="1" applyFont="1" applyFill="1" applyBorder="1" applyAlignment="1">
      <alignment vertical="center" wrapText="1"/>
    </xf>
    <xf numFmtId="0" fontId="48" fillId="0" borderId="63" xfId="0" applyFont="1" applyFill="1" applyBorder="1" applyAlignment="1">
      <alignment vertical="center"/>
    </xf>
    <xf numFmtId="3" fontId="40" fillId="0" borderId="64" xfId="0" applyNumberFormat="1" applyFont="1" applyFill="1" applyBorder="1" applyAlignment="1">
      <alignment vertical="center" wrapText="1"/>
    </xf>
    <xf numFmtId="0" fontId="44" fillId="0" borderId="63" xfId="0" applyFont="1" applyFill="1" applyBorder="1" applyAlignment="1">
      <alignment vertical="center"/>
    </xf>
    <xf numFmtId="0" fontId="44" fillId="0" borderId="66" xfId="0" applyFont="1" applyFill="1" applyBorder="1" applyAlignment="1">
      <alignment vertical="center"/>
    </xf>
    <xf numFmtId="3" fontId="38" fillId="0" borderId="92" xfId="0" applyNumberFormat="1" applyFont="1" applyFill="1" applyBorder="1" applyAlignment="1">
      <alignment vertical="center" wrapText="1"/>
    </xf>
    <xf numFmtId="0" fontId="44" fillId="0" borderId="86" xfId="0" applyFont="1" applyFill="1" applyBorder="1" applyAlignment="1">
      <alignment vertical="center"/>
    </xf>
    <xf numFmtId="3" fontId="38" fillId="0" borderId="87" xfId="0" applyNumberFormat="1" applyFont="1" applyFill="1" applyBorder="1" applyAlignment="1">
      <alignment vertical="center" wrapText="1"/>
    </xf>
    <xf numFmtId="0" fontId="44" fillId="0" borderId="85" xfId="0" applyFont="1" applyFill="1" applyBorder="1" applyAlignment="1">
      <alignment vertical="center"/>
    </xf>
    <xf numFmtId="3" fontId="38" fillId="0" borderId="83" xfId="0" applyNumberFormat="1" applyFont="1" applyFill="1" applyBorder="1" applyAlignment="1">
      <alignment vertical="center" wrapText="1"/>
    </xf>
    <xf numFmtId="0" fontId="45" fillId="35" borderId="60" xfId="0" applyFont="1" applyFill="1" applyBorder="1" applyAlignment="1">
      <alignment vertical="center"/>
    </xf>
    <xf numFmtId="0" fontId="45" fillId="35" borderId="57" xfId="0" applyFont="1" applyFill="1" applyBorder="1" applyAlignment="1">
      <alignment vertical="center"/>
    </xf>
    <xf numFmtId="3" fontId="45" fillId="35" borderId="57" xfId="0" applyNumberFormat="1" applyFont="1" applyFill="1" applyBorder="1" applyAlignment="1">
      <alignment vertical="center"/>
    </xf>
    <xf numFmtId="3" fontId="43" fillId="35" borderId="57" xfId="0" applyNumberFormat="1" applyFont="1" applyFill="1" applyBorder="1" applyAlignment="1">
      <alignment vertical="center"/>
    </xf>
    <xf numFmtId="9" fontId="45" fillId="35" borderId="67" xfId="79" applyFont="1" applyFill="1" applyBorder="1" applyAlignment="1">
      <alignment vertical="center"/>
    </xf>
    <xf numFmtId="0" fontId="43" fillId="0" borderId="63" xfId="0" applyFont="1" applyBorder="1" applyAlignment="1">
      <alignment vertical="center" wrapText="1"/>
    </xf>
    <xf numFmtId="0" fontId="43" fillId="0" borderId="64" xfId="0" applyFont="1" applyBorder="1" applyAlignment="1">
      <alignment vertical="center" wrapText="1"/>
    </xf>
    <xf numFmtId="3" fontId="43" fillId="0" borderId="64" xfId="0" applyNumberFormat="1" applyFont="1" applyFill="1" applyBorder="1" applyAlignment="1">
      <alignment vertical="center"/>
    </xf>
    <xf numFmtId="9" fontId="43" fillId="0" borderId="65" xfId="79" applyFont="1" applyBorder="1" applyAlignment="1">
      <alignment vertical="center" wrapText="1"/>
    </xf>
    <xf numFmtId="0" fontId="40" fillId="0" borderId="63" xfId="0" applyFont="1" applyBorder="1" applyAlignment="1">
      <alignment vertical="center" wrapText="1"/>
    </xf>
    <xf numFmtId="3" fontId="40" fillId="0" borderId="64" xfId="0" applyNumberFormat="1" applyFont="1" applyBorder="1" applyAlignment="1">
      <alignment/>
    </xf>
    <xf numFmtId="3" fontId="40" fillId="0" borderId="64" xfId="0" applyNumberFormat="1" applyFont="1" applyFill="1" applyBorder="1" applyAlignment="1">
      <alignment vertical="center"/>
    </xf>
    <xf numFmtId="9" fontId="40" fillId="0" borderId="65" xfId="79" applyFont="1" applyBorder="1" applyAlignment="1">
      <alignment vertical="center" wrapText="1"/>
    </xf>
    <xf numFmtId="0" fontId="38" fillId="0" borderId="63" xfId="0" applyFont="1" applyBorder="1" applyAlignment="1">
      <alignment vertical="center" wrapText="1"/>
    </xf>
    <xf numFmtId="0" fontId="38" fillId="0" borderId="64" xfId="0" applyFont="1" applyBorder="1" applyAlignment="1">
      <alignment vertical="center" wrapText="1"/>
    </xf>
    <xf numFmtId="3" fontId="38" fillId="0" borderId="64" xfId="0" applyNumberFormat="1" applyFont="1" applyFill="1" applyBorder="1" applyAlignment="1">
      <alignment vertical="center"/>
    </xf>
    <xf numFmtId="9" fontId="38" fillId="0" borderId="65" xfId="79" applyFont="1" applyBorder="1" applyAlignment="1">
      <alignment vertical="center" wrapText="1"/>
    </xf>
    <xf numFmtId="0" fontId="39" fillId="0" borderId="63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wrapText="1"/>
    </xf>
    <xf numFmtId="3" fontId="40" fillId="0" borderId="0" xfId="0" applyNumberFormat="1" applyFont="1" applyBorder="1" applyAlignment="1">
      <alignment wrapText="1"/>
    </xf>
    <xf numFmtId="3" fontId="40" fillId="0" borderId="0" xfId="0" applyNumberFormat="1" applyFont="1" applyFill="1" applyBorder="1" applyAlignment="1">
      <alignment wrapText="1"/>
    </xf>
    <xf numFmtId="9" fontId="40" fillId="0" borderId="0" xfId="79" applyFont="1" applyFill="1" applyBorder="1" applyAlignment="1">
      <alignment vertical="center" wrapText="1"/>
    </xf>
    <xf numFmtId="0" fontId="44" fillId="0" borderId="85" xfId="0" applyFont="1" applyBorder="1" applyAlignment="1">
      <alignment/>
    </xf>
    <xf numFmtId="0" fontId="44" fillId="0" borderId="83" xfId="0" applyFont="1" applyBorder="1" applyAlignment="1">
      <alignment/>
    </xf>
    <xf numFmtId="3" fontId="38" fillId="0" borderId="83" xfId="0" applyNumberFormat="1" applyFont="1" applyBorder="1" applyAlignment="1">
      <alignment/>
    </xf>
    <xf numFmtId="9" fontId="44" fillId="0" borderId="84" xfId="79" applyFont="1" applyBorder="1" applyAlignment="1">
      <alignment/>
    </xf>
    <xf numFmtId="0" fontId="44" fillId="0" borderId="63" xfId="0" applyFont="1" applyBorder="1" applyAlignment="1">
      <alignment/>
    </xf>
    <xf numFmtId="0" fontId="44" fillId="0" borderId="64" xfId="0" applyFont="1" applyBorder="1" applyAlignment="1">
      <alignment/>
    </xf>
    <xf numFmtId="3" fontId="38" fillId="0" borderId="64" xfId="0" applyNumberFormat="1" applyFont="1" applyBorder="1" applyAlignment="1">
      <alignment/>
    </xf>
    <xf numFmtId="9" fontId="44" fillId="0" borderId="65" xfId="79" applyFont="1" applyBorder="1" applyAlignment="1">
      <alignment/>
    </xf>
    <xf numFmtId="0" fontId="44" fillId="0" borderId="66" xfId="0" applyFont="1" applyBorder="1" applyAlignment="1">
      <alignment/>
    </xf>
    <xf numFmtId="0" fontId="44" fillId="0" borderId="92" xfId="0" applyFont="1" applyBorder="1" applyAlignment="1">
      <alignment/>
    </xf>
    <xf numFmtId="3" fontId="38" fillId="0" borderId="92" xfId="0" applyNumberFormat="1" applyFont="1" applyBorder="1" applyAlignment="1">
      <alignment/>
    </xf>
    <xf numFmtId="9" fontId="44" fillId="0" borderId="68" xfId="79" applyFont="1" applyBorder="1" applyAlignment="1">
      <alignment/>
    </xf>
    <xf numFmtId="0" fontId="45" fillId="0" borderId="85" xfId="0" applyFont="1" applyBorder="1" applyAlignment="1">
      <alignment/>
    </xf>
    <xf numFmtId="0" fontId="45" fillId="0" borderId="83" xfId="0" applyFont="1" applyBorder="1" applyAlignment="1">
      <alignment/>
    </xf>
    <xf numFmtId="3" fontId="45" fillId="0" borderId="83" xfId="0" applyNumberFormat="1" applyFont="1" applyBorder="1" applyAlignment="1">
      <alignment/>
    </xf>
    <xf numFmtId="9" fontId="45" fillId="0" borderId="84" xfId="79" applyFont="1" applyBorder="1" applyAlignment="1">
      <alignment/>
    </xf>
    <xf numFmtId="0" fontId="45" fillId="0" borderId="86" xfId="0" applyFont="1" applyBorder="1" applyAlignment="1">
      <alignment/>
    </xf>
    <xf numFmtId="0" fontId="45" fillId="0" borderId="87" xfId="0" applyFont="1" applyBorder="1" applyAlignment="1">
      <alignment/>
    </xf>
    <xf numFmtId="3" fontId="45" fillId="0" borderId="87" xfId="0" applyNumberFormat="1" applyFont="1" applyBorder="1" applyAlignment="1">
      <alignment/>
    </xf>
    <xf numFmtId="9" fontId="45" fillId="0" borderId="96" xfId="79" applyFont="1" applyBorder="1" applyAlignment="1">
      <alignment/>
    </xf>
    <xf numFmtId="0" fontId="45" fillId="0" borderId="60" xfId="0" applyFont="1" applyBorder="1" applyAlignment="1">
      <alignment/>
    </xf>
    <xf numFmtId="0" fontId="45" fillId="0" borderId="57" xfId="0" applyFont="1" applyBorder="1" applyAlignment="1">
      <alignment/>
    </xf>
    <xf numFmtId="3" fontId="45" fillId="0" borderId="57" xfId="0" applyNumberFormat="1" applyFont="1" applyBorder="1" applyAlignment="1">
      <alignment/>
    </xf>
    <xf numFmtId="9" fontId="45" fillId="0" borderId="67" xfId="79" applyFont="1" applyBorder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63" xfId="63" applyFont="1" applyFill="1" applyBorder="1" applyAlignment="1">
      <alignment vertical="center" wrapText="1"/>
      <protection/>
    </xf>
    <xf numFmtId="174" fontId="38" fillId="0" borderId="106" xfId="46" applyNumberFormat="1" applyFont="1" applyBorder="1" applyAlignment="1">
      <alignment/>
    </xf>
    <xf numFmtId="0" fontId="39" fillId="0" borderId="63" xfId="63" applyFont="1" applyFill="1" applyBorder="1" applyAlignment="1">
      <alignment vertical="center" wrapText="1"/>
      <protection/>
    </xf>
    <xf numFmtId="174" fontId="39" fillId="0" borderId="64" xfId="46" applyNumberFormat="1" applyFont="1" applyFill="1" applyBorder="1" applyAlignment="1">
      <alignment/>
    </xf>
    <xf numFmtId="174" fontId="39" fillId="0" borderId="106" xfId="46" applyNumberFormat="1" applyFont="1" applyFill="1" applyBorder="1" applyAlignment="1">
      <alignment/>
    </xf>
    <xf numFmtId="9" fontId="45" fillId="0" borderId="71" xfId="79" applyFont="1" applyBorder="1" applyAlignment="1">
      <alignment/>
    </xf>
    <xf numFmtId="174" fontId="38" fillId="0" borderId="106" xfId="46" applyNumberFormat="1" applyFont="1" applyBorder="1" applyAlignment="1">
      <alignment/>
    </xf>
    <xf numFmtId="0" fontId="44" fillId="0" borderId="64" xfId="72" applyFont="1" applyBorder="1">
      <alignment/>
      <protection/>
    </xf>
    <xf numFmtId="174" fontId="38" fillId="0" borderId="106" xfId="46" applyNumberFormat="1" applyFont="1" applyFill="1" applyBorder="1" applyAlignment="1">
      <alignment horizontal="right"/>
    </xf>
    <xf numFmtId="0" fontId="39" fillId="0" borderId="86" xfId="63" applyFont="1" applyFill="1" applyBorder="1" applyAlignment="1">
      <alignment vertical="center" wrapText="1"/>
      <protection/>
    </xf>
    <xf numFmtId="174" fontId="39" fillId="0" borderId="87" xfId="46" applyNumberFormat="1" applyFont="1" applyFill="1" applyBorder="1" applyAlignment="1">
      <alignment/>
    </xf>
    <xf numFmtId="174" fontId="39" fillId="0" borderId="111" xfId="46" applyNumberFormat="1" applyFont="1" applyBorder="1" applyAlignment="1">
      <alignment/>
    </xf>
    <xf numFmtId="9" fontId="45" fillId="0" borderId="93" xfId="79" applyFont="1" applyBorder="1" applyAlignment="1">
      <alignment/>
    </xf>
    <xf numFmtId="0" fontId="43" fillId="0" borderId="60" xfId="63" applyFont="1" applyFill="1" applyBorder="1" applyAlignment="1">
      <alignment vertical="center" wrapText="1"/>
      <protection/>
    </xf>
    <xf numFmtId="174" fontId="43" fillId="0" borderId="57" xfId="46" applyNumberFormat="1" applyFont="1" applyBorder="1" applyAlignment="1">
      <alignment vertical="center"/>
    </xf>
    <xf numFmtId="174" fontId="43" fillId="0" borderId="112" xfId="46" applyNumberFormat="1" applyFont="1" applyBorder="1" applyAlignment="1">
      <alignment vertical="center"/>
    </xf>
    <xf numFmtId="0" fontId="43" fillId="0" borderId="66" xfId="63" applyFont="1" applyFill="1" applyBorder="1" applyAlignment="1">
      <alignment vertical="center" wrapText="1"/>
      <protection/>
    </xf>
    <xf numFmtId="174" fontId="43" fillId="0" borderId="92" xfId="46" applyNumberFormat="1" applyFont="1" applyFill="1" applyBorder="1" applyAlignment="1">
      <alignment vertical="center"/>
    </xf>
    <xf numFmtId="174" fontId="43" fillId="0" borderId="111" xfId="46" applyNumberFormat="1" applyFont="1" applyFill="1" applyBorder="1" applyAlignment="1">
      <alignment vertical="center"/>
    </xf>
    <xf numFmtId="0" fontId="46" fillId="0" borderId="0" xfId="66" applyFont="1">
      <alignment/>
      <protection/>
    </xf>
    <xf numFmtId="0" fontId="44" fillId="0" borderId="63" xfId="72" applyFont="1" applyBorder="1" applyAlignment="1">
      <alignment vertical="center" wrapText="1"/>
      <protection/>
    </xf>
    <xf numFmtId="0" fontId="0" fillId="0" borderId="97" xfId="0" applyBorder="1" applyAlignment="1">
      <alignment/>
    </xf>
    <xf numFmtId="0" fontId="8" fillId="0" borderId="11" xfId="0" applyFont="1" applyFill="1" applyBorder="1" applyAlignment="1">
      <alignment vertical="center"/>
    </xf>
    <xf numFmtId="0" fontId="1" fillId="0" borderId="85" xfId="0" applyFont="1" applyBorder="1" applyAlignment="1">
      <alignment/>
    </xf>
    <xf numFmtId="0" fontId="9" fillId="0" borderId="83" xfId="0" applyFont="1" applyFill="1" applyBorder="1" applyAlignment="1">
      <alignment vertical="center"/>
    </xf>
    <xf numFmtId="3" fontId="9" fillId="0" borderId="84" xfId="0" applyNumberFormat="1" applyFont="1" applyBorder="1" applyAlignment="1">
      <alignment wrapText="1"/>
    </xf>
    <xf numFmtId="0" fontId="1" fillId="0" borderId="63" xfId="0" applyFont="1" applyBorder="1" applyAlignment="1">
      <alignment/>
    </xf>
    <xf numFmtId="0" fontId="9" fillId="0" borderId="64" xfId="0" applyFont="1" applyFill="1" applyBorder="1" applyAlignment="1">
      <alignment vertical="center"/>
    </xf>
    <xf numFmtId="3" fontId="9" fillId="0" borderId="65" xfId="0" applyNumberFormat="1" applyFont="1" applyBorder="1" applyAlignment="1">
      <alignment wrapText="1"/>
    </xf>
    <xf numFmtId="3" fontId="39" fillId="0" borderId="32" xfId="0" applyNumberFormat="1" applyFont="1" applyBorder="1" applyAlignment="1">
      <alignment vertical="center"/>
    </xf>
    <xf numFmtId="3" fontId="43" fillId="0" borderId="113" xfId="0" applyNumberFormat="1" applyFont="1" applyBorder="1" applyAlignment="1">
      <alignment vertical="center"/>
    </xf>
    <xf numFmtId="3" fontId="43" fillId="0" borderId="81" xfId="0" applyNumberFormat="1" applyFont="1" applyBorder="1" applyAlignment="1">
      <alignment vertical="center"/>
    </xf>
    <xf numFmtId="3" fontId="43" fillId="0" borderId="22" xfId="0" applyNumberFormat="1" applyFont="1" applyBorder="1" applyAlignment="1">
      <alignment vertical="center"/>
    </xf>
    <xf numFmtId="3" fontId="43" fillId="0" borderId="114" xfId="0" applyNumberFormat="1" applyFont="1" applyBorder="1" applyAlignment="1">
      <alignment vertical="center"/>
    </xf>
    <xf numFmtId="9" fontId="43" fillId="0" borderId="32" xfId="79" applyFont="1" applyBorder="1" applyAlignment="1">
      <alignment vertical="center"/>
    </xf>
    <xf numFmtId="3" fontId="9" fillId="0" borderId="85" xfId="0" applyNumberFormat="1" applyFont="1" applyBorder="1" applyAlignment="1">
      <alignment horizontal="center"/>
    </xf>
    <xf numFmtId="3" fontId="38" fillId="0" borderId="115" xfId="0" applyNumberFormat="1" applyFont="1" applyBorder="1" applyAlignment="1">
      <alignment/>
    </xf>
    <xf numFmtId="3" fontId="8" fillId="0" borderId="115" xfId="0" applyNumberFormat="1" applyFont="1" applyBorder="1" applyAlignment="1">
      <alignment/>
    </xf>
    <xf numFmtId="3" fontId="9" fillId="37" borderId="86" xfId="0" applyNumberFormat="1" applyFont="1" applyFill="1" applyBorder="1" applyAlignment="1">
      <alignment horizontal="center" vertical="center"/>
    </xf>
    <xf numFmtId="3" fontId="39" fillId="37" borderId="87" xfId="0" applyNumberFormat="1" applyFont="1" applyFill="1" applyBorder="1" applyAlignment="1">
      <alignment horizontal="center" vertical="center"/>
    </xf>
    <xf numFmtId="3" fontId="8" fillId="0" borderId="58" xfId="0" applyNumberFormat="1" applyFont="1" applyBorder="1" applyAlignment="1">
      <alignment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8" fillId="0" borderId="87" xfId="0" applyNumberFormat="1" applyFont="1" applyBorder="1" applyAlignment="1">
      <alignment horizontal="right" vertical="center"/>
    </xf>
    <xf numFmtId="3" fontId="8" fillId="0" borderId="87" xfId="0" applyNumberFormat="1" applyFont="1" applyFill="1" applyBorder="1" applyAlignment="1">
      <alignment vertical="center"/>
    </xf>
    <xf numFmtId="3" fontId="8" fillId="0" borderId="96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9" fontId="38" fillId="0" borderId="107" xfId="79" applyFont="1" applyBorder="1" applyAlignment="1">
      <alignment vertical="center"/>
    </xf>
    <xf numFmtId="49" fontId="9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16" xfId="0" applyNumberFormat="1" applyFont="1" applyBorder="1" applyAlignment="1">
      <alignment horizontal="center" vertical="center"/>
    </xf>
    <xf numFmtId="0" fontId="15" fillId="0" borderId="57" xfId="0" applyFont="1" applyFill="1" applyBorder="1" applyAlignment="1">
      <alignment vertical="center" wrapText="1"/>
    </xf>
    <xf numFmtId="0" fontId="0" fillId="0" borderId="63" xfId="0" applyFont="1" applyFill="1" applyBorder="1" applyAlignment="1">
      <alignment vertical="center"/>
    </xf>
    <xf numFmtId="0" fontId="13" fillId="0" borderId="64" xfId="0" applyFont="1" applyFill="1" applyBorder="1" applyAlignment="1">
      <alignment/>
    </xf>
    <xf numFmtId="0" fontId="0" fillId="0" borderId="86" xfId="0" applyFont="1" applyFill="1" applyBorder="1" applyAlignment="1">
      <alignment vertical="center"/>
    </xf>
    <xf numFmtId="0" fontId="8" fillId="0" borderId="87" xfId="0" applyFont="1" applyFill="1" applyBorder="1" applyAlignment="1">
      <alignment/>
    </xf>
    <xf numFmtId="3" fontId="8" fillId="0" borderId="96" xfId="0" applyNumberFormat="1" applyFont="1" applyBorder="1" applyAlignment="1">
      <alignment horizontal="right" vertical="center"/>
    </xf>
    <xf numFmtId="9" fontId="49" fillId="0" borderId="36" xfId="79" applyFont="1" applyBorder="1" applyAlignment="1">
      <alignment vertical="center"/>
    </xf>
    <xf numFmtId="9" fontId="49" fillId="0" borderId="93" xfId="79" applyFont="1" applyBorder="1" applyAlignment="1">
      <alignment vertical="center"/>
    </xf>
    <xf numFmtId="0" fontId="35" fillId="0" borderId="86" xfId="70" applyFont="1" applyBorder="1">
      <alignment/>
      <protection/>
    </xf>
    <xf numFmtId="0" fontId="0" fillId="0" borderId="63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174" fontId="15" fillId="36" borderId="57" xfId="46" applyNumberFormat="1" applyFont="1" applyFill="1" applyBorder="1" applyAlignment="1">
      <alignment horizontal="right" vertical="center" wrapText="1"/>
    </xf>
    <xf numFmtId="9" fontId="15" fillId="36" borderId="67" xfId="79" applyFont="1" applyFill="1" applyBorder="1" applyAlignment="1">
      <alignment horizontal="right" vertical="center" wrapText="1"/>
    </xf>
    <xf numFmtId="3" fontId="9" fillId="0" borderId="103" xfId="0" applyNumberFormat="1" applyFont="1" applyBorder="1" applyAlignment="1">
      <alignment/>
    </xf>
    <xf numFmtId="3" fontId="10" fillId="0" borderId="103" xfId="0" applyNumberFormat="1" applyFont="1" applyBorder="1" applyAlignment="1">
      <alignment/>
    </xf>
    <xf numFmtId="9" fontId="9" fillId="0" borderId="104" xfId="79" applyFont="1" applyBorder="1" applyAlignment="1">
      <alignment/>
    </xf>
    <xf numFmtId="3" fontId="9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9" fontId="9" fillId="0" borderId="105" xfId="79" applyFont="1" applyBorder="1" applyAlignment="1">
      <alignment/>
    </xf>
    <xf numFmtId="3" fontId="8" fillId="0" borderId="68" xfId="0" applyNumberFormat="1" applyFont="1" applyFill="1" applyBorder="1" applyAlignment="1">
      <alignment/>
    </xf>
    <xf numFmtId="3" fontId="8" fillId="0" borderId="96" xfId="0" applyNumberFormat="1" applyFont="1" applyFill="1" applyBorder="1" applyAlignment="1">
      <alignment vertical="center" wrapText="1"/>
    </xf>
    <xf numFmtId="174" fontId="12" fillId="0" borderId="57" xfId="71" applyNumberFormat="1" applyFont="1" applyFill="1" applyBorder="1" applyAlignment="1">
      <alignment vertical="center" wrapText="1"/>
      <protection/>
    </xf>
    <xf numFmtId="0" fontId="51" fillId="0" borderId="64" xfId="0" applyFont="1" applyBorder="1" applyAlignment="1">
      <alignment vertical="center" wrapText="1"/>
    </xf>
    <xf numFmtId="0" fontId="50" fillId="0" borderId="60" xfId="0" applyFont="1" applyBorder="1" applyAlignment="1">
      <alignment vertical="center"/>
    </xf>
    <xf numFmtId="3" fontId="50" fillId="0" borderId="57" xfId="0" applyNumberFormat="1" applyFont="1" applyBorder="1" applyAlignment="1">
      <alignment vertical="center"/>
    </xf>
    <xf numFmtId="0" fontId="51" fillId="0" borderId="63" xfId="0" applyFont="1" applyBorder="1" applyAlignment="1">
      <alignment vertical="center"/>
    </xf>
    <xf numFmtId="3" fontId="51" fillId="0" borderId="64" xfId="0" applyNumberFormat="1" applyFont="1" applyBorder="1" applyAlignment="1">
      <alignment vertical="center"/>
    </xf>
    <xf numFmtId="3" fontId="52" fillId="0" borderId="64" xfId="0" applyNumberFormat="1" applyFont="1" applyFill="1" applyBorder="1" applyAlignment="1">
      <alignment vertical="center"/>
    </xf>
    <xf numFmtId="0" fontId="51" fillId="0" borderId="64" xfId="0" applyFont="1" applyFill="1" applyBorder="1" applyAlignment="1">
      <alignment vertical="center" wrapText="1"/>
    </xf>
    <xf numFmtId="3" fontId="51" fillId="0" borderId="64" xfId="0" applyNumberFormat="1" applyFont="1" applyFill="1" applyBorder="1" applyAlignment="1">
      <alignment vertical="center"/>
    </xf>
    <xf numFmtId="0" fontId="50" fillId="0" borderId="57" xfId="0" applyFont="1" applyBorder="1" applyAlignment="1">
      <alignment vertical="center" wrapText="1"/>
    </xf>
    <xf numFmtId="3" fontId="50" fillId="0" borderId="57" xfId="0" applyNumberFormat="1" applyFont="1" applyFill="1" applyBorder="1" applyAlignment="1">
      <alignment vertical="center"/>
    </xf>
    <xf numFmtId="3" fontId="52" fillId="0" borderId="88" xfId="0" applyNumberFormat="1" applyFont="1" applyFill="1" applyBorder="1" applyAlignment="1">
      <alignment vertical="center"/>
    </xf>
    <xf numFmtId="3" fontId="50" fillId="0" borderId="64" xfId="0" applyNumberFormat="1" applyFont="1" applyFill="1" applyBorder="1" applyAlignment="1">
      <alignment vertical="center"/>
    </xf>
    <xf numFmtId="0" fontId="50" fillId="0" borderId="63" xfId="0" applyFont="1" applyFill="1" applyBorder="1" applyAlignment="1">
      <alignment vertical="center"/>
    </xf>
    <xf numFmtId="0" fontId="52" fillId="0" borderId="63" xfId="0" applyFont="1" applyFill="1" applyBorder="1" applyAlignment="1">
      <alignment vertical="center"/>
    </xf>
    <xf numFmtId="0" fontId="51" fillId="0" borderId="63" xfId="0" applyFont="1" applyFill="1" applyBorder="1" applyAlignment="1">
      <alignment vertical="center"/>
    </xf>
    <xf numFmtId="0" fontId="50" fillId="0" borderId="6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52" fillId="0" borderId="64" xfId="0" applyFont="1" applyFill="1" applyBorder="1" applyAlignment="1">
      <alignment vertical="center" wrapText="1"/>
    </xf>
    <xf numFmtId="0" fontId="50" fillId="0" borderId="64" xfId="0" applyFont="1" applyFill="1" applyBorder="1" applyAlignment="1">
      <alignment vertical="center" wrapText="1"/>
    </xf>
    <xf numFmtId="0" fontId="50" fillId="0" borderId="57" xfId="0" applyFont="1" applyFill="1" applyBorder="1" applyAlignment="1">
      <alignment vertical="center" wrapText="1"/>
    </xf>
    <xf numFmtId="0" fontId="51" fillId="0" borderId="64" xfId="0" applyFont="1" applyFill="1" applyBorder="1" applyAlignment="1">
      <alignment vertical="center" wrapText="1"/>
    </xf>
    <xf numFmtId="0" fontId="52" fillId="0" borderId="97" xfId="0" applyFont="1" applyFill="1" applyBorder="1" applyAlignment="1">
      <alignment vertical="center"/>
    </xf>
    <xf numFmtId="0" fontId="52" fillId="0" borderId="88" xfId="0" applyFont="1" applyFill="1" applyBorder="1" applyAlignment="1">
      <alignment vertical="center" wrapText="1"/>
    </xf>
    <xf numFmtId="0" fontId="53" fillId="0" borderId="63" xfId="0" applyFont="1" applyFill="1" applyBorder="1" applyAlignment="1">
      <alignment vertical="center"/>
    </xf>
    <xf numFmtId="0" fontId="52" fillId="0" borderId="66" xfId="0" applyFont="1" applyFill="1" applyBorder="1" applyAlignment="1">
      <alignment vertical="center"/>
    </xf>
    <xf numFmtId="0" fontId="52" fillId="0" borderId="92" xfId="0" applyFont="1" applyFill="1" applyBorder="1" applyAlignment="1">
      <alignment vertical="center" wrapText="1"/>
    </xf>
    <xf numFmtId="3" fontId="52" fillId="0" borderId="92" xfId="0" applyNumberFormat="1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85" xfId="0" applyFont="1" applyBorder="1" applyAlignment="1">
      <alignment vertical="center"/>
    </xf>
    <xf numFmtId="0" fontId="51" fillId="0" borderId="83" xfId="0" applyFont="1" applyBorder="1" applyAlignment="1">
      <alignment vertical="center" wrapText="1"/>
    </xf>
    <xf numFmtId="3" fontId="51" fillId="0" borderId="83" xfId="0" applyNumberFormat="1" applyFont="1" applyBorder="1" applyAlignment="1">
      <alignment vertical="center"/>
    </xf>
    <xf numFmtId="0" fontId="51" fillId="0" borderId="66" xfId="0" applyFont="1" applyBorder="1" applyAlignment="1">
      <alignment vertical="center"/>
    </xf>
    <xf numFmtId="0" fontId="51" fillId="0" borderId="92" xfId="0" applyFont="1" applyBorder="1" applyAlignment="1">
      <alignment vertical="center" wrapText="1"/>
    </xf>
    <xf numFmtId="3" fontId="51" fillId="0" borderId="92" xfId="0" applyNumberFormat="1" applyFont="1" applyBorder="1" applyAlignment="1">
      <alignment vertical="center"/>
    </xf>
    <xf numFmtId="0" fontId="50" fillId="0" borderId="85" xfId="0" applyFont="1" applyBorder="1" applyAlignment="1">
      <alignment vertical="center"/>
    </xf>
    <xf numFmtId="0" fontId="50" fillId="0" borderId="83" xfId="0" applyFont="1" applyBorder="1" applyAlignment="1">
      <alignment vertical="center" wrapText="1"/>
    </xf>
    <xf numFmtId="3" fontId="50" fillId="0" borderId="83" xfId="0" applyNumberFormat="1" applyFont="1" applyBorder="1" applyAlignment="1">
      <alignment vertical="center"/>
    </xf>
    <xf numFmtId="0" fontId="50" fillId="0" borderId="86" xfId="0" applyFont="1" applyBorder="1" applyAlignment="1">
      <alignment vertical="center"/>
    </xf>
    <xf numFmtId="0" fontId="50" fillId="0" borderId="87" xfId="0" applyFont="1" applyBorder="1" applyAlignment="1">
      <alignment vertical="center" wrapText="1"/>
    </xf>
    <xf numFmtId="3" fontId="50" fillId="0" borderId="87" xfId="0" applyNumberFormat="1" applyFont="1" applyBorder="1" applyAlignment="1">
      <alignment vertical="center"/>
    </xf>
    <xf numFmtId="0" fontId="50" fillId="0" borderId="87" xfId="0" applyFont="1" applyBorder="1" applyAlignment="1">
      <alignment vertical="center"/>
    </xf>
    <xf numFmtId="0" fontId="16" fillId="0" borderId="91" xfId="71" applyBorder="1" applyAlignment="1">
      <alignment horizontal="right"/>
      <protection/>
    </xf>
    <xf numFmtId="0" fontId="9" fillId="0" borderId="102" xfId="71" applyFont="1" applyBorder="1" applyAlignment="1">
      <alignment horizontal="center" vertical="center"/>
      <protection/>
    </xf>
    <xf numFmtId="0" fontId="9" fillId="0" borderId="60" xfId="71" applyFont="1" applyFill="1" applyBorder="1" applyAlignment="1">
      <alignment vertical="top" wrapText="1"/>
      <protection/>
    </xf>
    <xf numFmtId="0" fontId="16" fillId="0" borderId="57" xfId="71" applyBorder="1">
      <alignment/>
      <protection/>
    </xf>
    <xf numFmtId="0" fontId="16" fillId="0" borderId="67" xfId="71" applyBorder="1">
      <alignment/>
      <protection/>
    </xf>
    <xf numFmtId="0" fontId="12" fillId="0" borderId="83" xfId="71" applyFont="1" applyFill="1" applyBorder="1" applyAlignment="1">
      <alignment vertical="top" wrapText="1"/>
      <protection/>
    </xf>
    <xf numFmtId="0" fontId="12" fillId="0" borderId="64" xfId="71" applyFont="1" applyBorder="1" applyAlignment="1">
      <alignment vertical="center"/>
      <protection/>
    </xf>
    <xf numFmtId="0" fontId="8" fillId="0" borderId="64" xfId="71" applyFont="1" applyBorder="1" applyAlignment="1">
      <alignment vertical="center"/>
      <protection/>
    </xf>
    <xf numFmtId="0" fontId="8" fillId="0" borderId="64" xfId="71" applyFont="1" applyBorder="1" applyAlignment="1">
      <alignment vertical="center"/>
      <protection/>
    </xf>
    <xf numFmtId="0" fontId="30" fillId="0" borderId="37" xfId="71" applyFont="1" applyBorder="1" applyAlignment="1">
      <alignment horizontal="right"/>
      <protection/>
    </xf>
    <xf numFmtId="0" fontId="12" fillId="0" borderId="83" xfId="71" applyFont="1" applyBorder="1" applyAlignment="1">
      <alignment horizontal="left" wrapText="1" indent="1"/>
      <protection/>
    </xf>
    <xf numFmtId="0" fontId="14" fillId="0" borderId="64" xfId="71" applyFont="1" applyBorder="1" applyAlignment="1">
      <alignment horizontal="left"/>
      <protection/>
    </xf>
    <xf numFmtId="0" fontId="8" fillId="0" borderId="64" xfId="71" applyFont="1" applyBorder="1" applyAlignment="1">
      <alignment horizontal="left"/>
      <protection/>
    </xf>
    <xf numFmtId="0" fontId="8" fillId="0" borderId="64" xfId="71" applyFont="1" applyBorder="1" applyAlignment="1">
      <alignment horizontal="left" wrapText="1"/>
      <protection/>
    </xf>
    <xf numFmtId="0" fontId="16" fillId="0" borderId="106" xfId="71" applyBorder="1">
      <alignment/>
      <protection/>
    </xf>
    <xf numFmtId="0" fontId="16" fillId="0" borderId="80" xfId="71" applyBorder="1" applyAlignment="1">
      <alignment horizontal="right"/>
      <protection/>
    </xf>
    <xf numFmtId="0" fontId="12" fillId="0" borderId="64" xfId="71" applyFont="1" applyBorder="1" applyAlignment="1">
      <alignment vertical="center" wrapText="1"/>
      <protection/>
    </xf>
    <xf numFmtId="0" fontId="8" fillId="0" borderId="64" xfId="71" applyFont="1" applyBorder="1" applyAlignment="1">
      <alignment horizontal="left"/>
      <protection/>
    </xf>
    <xf numFmtId="0" fontId="9" fillId="0" borderId="60" xfId="71" applyFont="1" applyBorder="1" applyAlignment="1">
      <alignment wrapText="1"/>
      <protection/>
    </xf>
    <xf numFmtId="0" fontId="26" fillId="0" borderId="80" xfId="71" applyFont="1" applyBorder="1" applyAlignment="1">
      <alignment horizontal="right"/>
      <protection/>
    </xf>
    <xf numFmtId="0" fontId="16" fillId="0" borderId="80" xfId="71" applyFont="1" applyBorder="1" applyAlignment="1">
      <alignment horizontal="right"/>
      <protection/>
    </xf>
    <xf numFmtId="0" fontId="8" fillId="0" borderId="63" xfId="71" applyFont="1" applyBorder="1" applyAlignment="1">
      <alignment horizontal="left" wrapText="1" indent="2"/>
      <protection/>
    </xf>
    <xf numFmtId="0" fontId="8" fillId="0" borderId="63" xfId="71" applyFont="1" applyBorder="1" applyAlignment="1">
      <alignment horizontal="left" wrapText="1"/>
      <protection/>
    </xf>
    <xf numFmtId="0" fontId="8" fillId="0" borderId="63" xfId="71" applyFont="1" applyBorder="1" applyAlignment="1">
      <alignment vertical="center" wrapText="1"/>
      <protection/>
    </xf>
    <xf numFmtId="0" fontId="8" fillId="0" borderId="63" xfId="71" applyFont="1" applyBorder="1" applyAlignment="1">
      <alignment vertical="center" wrapText="1"/>
      <protection/>
    </xf>
    <xf numFmtId="0" fontId="14" fillId="0" borderId="63" xfId="71" applyFont="1" applyBorder="1" applyAlignment="1">
      <alignment vertical="center" wrapText="1"/>
      <protection/>
    </xf>
    <xf numFmtId="0" fontId="16" fillId="0" borderId="34" xfId="71" applyFont="1" applyBorder="1" applyAlignment="1">
      <alignment horizontal="right"/>
      <protection/>
    </xf>
    <xf numFmtId="0" fontId="8" fillId="0" borderId="35" xfId="71" applyFont="1" applyBorder="1" applyAlignment="1">
      <alignment vertical="center" wrapText="1"/>
      <protection/>
    </xf>
    <xf numFmtId="0" fontId="12" fillId="0" borderId="60" xfId="71" applyFont="1" applyBorder="1" applyAlignment="1">
      <alignment vertical="center" wrapText="1"/>
      <protection/>
    </xf>
    <xf numFmtId="0" fontId="29" fillId="0" borderId="37" xfId="71" applyFont="1" applyBorder="1" applyAlignment="1">
      <alignment horizontal="right"/>
      <protection/>
    </xf>
    <xf numFmtId="174" fontId="29" fillId="0" borderId="0" xfId="46" applyNumberFormat="1" applyFont="1" applyAlignment="1">
      <alignment/>
    </xf>
    <xf numFmtId="0" fontId="51" fillId="0" borderId="92" xfId="0" applyFont="1" applyFill="1" applyBorder="1" applyAlignment="1">
      <alignment vertical="center" wrapText="1"/>
    </xf>
    <xf numFmtId="9" fontId="0" fillId="0" borderId="0" xfId="79" applyFont="1" applyAlignment="1">
      <alignment vertical="center"/>
    </xf>
    <xf numFmtId="9" fontId="0" fillId="0" borderId="0" xfId="79" applyFont="1" applyAlignment="1">
      <alignment/>
    </xf>
    <xf numFmtId="0" fontId="16" fillId="0" borderId="86" xfId="71" applyFont="1" applyBorder="1" applyAlignment="1">
      <alignment horizontal="right"/>
      <protection/>
    </xf>
    <xf numFmtId="0" fontId="12" fillId="0" borderId="87" xfId="71" applyFont="1" applyFill="1" applyBorder="1" applyAlignment="1">
      <alignment vertical="top" wrapText="1"/>
      <protection/>
    </xf>
    <xf numFmtId="0" fontId="26" fillId="0" borderId="117" xfId="71" applyFont="1" applyBorder="1" applyAlignment="1">
      <alignment horizontal="right"/>
      <protection/>
    </xf>
    <xf numFmtId="9" fontId="0" fillId="0" borderId="67" xfId="79" applyFont="1" applyFill="1" applyBorder="1" applyAlignment="1">
      <alignment vertical="center"/>
    </xf>
    <xf numFmtId="9" fontId="0" fillId="0" borderId="65" xfId="79" applyFont="1" applyFill="1" applyBorder="1" applyAlignment="1">
      <alignment vertical="center"/>
    </xf>
    <xf numFmtId="9" fontId="0" fillId="0" borderId="89" xfId="79" applyFont="1" applyFill="1" applyBorder="1" applyAlignment="1">
      <alignment vertical="center"/>
    </xf>
    <xf numFmtId="9" fontId="0" fillId="0" borderId="68" xfId="79" applyFont="1" applyFill="1" applyBorder="1" applyAlignment="1">
      <alignment vertical="center"/>
    </xf>
    <xf numFmtId="3" fontId="51" fillId="39" borderId="64" xfId="0" applyNumberFormat="1" applyFont="1" applyFill="1" applyBorder="1" applyAlignment="1">
      <alignment vertical="center"/>
    </xf>
    <xf numFmtId="3" fontId="52" fillId="39" borderId="64" xfId="0" applyNumberFormat="1" applyFont="1" applyFill="1" applyBorder="1" applyAlignment="1">
      <alignment vertical="center"/>
    </xf>
    <xf numFmtId="9" fontId="2" fillId="0" borderId="65" xfId="79" applyFont="1" applyFill="1" applyBorder="1" applyAlignment="1">
      <alignment vertical="center"/>
    </xf>
    <xf numFmtId="9" fontId="0" fillId="0" borderId="84" xfId="79" applyFont="1" applyBorder="1" applyAlignment="1">
      <alignment vertical="center"/>
    </xf>
    <xf numFmtId="9" fontId="0" fillId="0" borderId="65" xfId="79" applyFont="1" applyBorder="1" applyAlignment="1">
      <alignment vertical="center"/>
    </xf>
    <xf numFmtId="9" fontId="0" fillId="0" borderId="68" xfId="79" applyFont="1" applyBorder="1" applyAlignment="1">
      <alignment vertical="center"/>
    </xf>
    <xf numFmtId="3" fontId="38" fillId="0" borderId="118" xfId="0" applyNumberFormat="1" applyFont="1" applyFill="1" applyBorder="1" applyAlignment="1">
      <alignment vertical="center"/>
    </xf>
    <xf numFmtId="3" fontId="38" fillId="0" borderId="109" xfId="0" applyNumberFormat="1" applyFont="1" applyFill="1" applyBorder="1" applyAlignment="1">
      <alignment vertical="center"/>
    </xf>
    <xf numFmtId="174" fontId="38" fillId="0" borderId="106" xfId="46" applyNumberFormat="1" applyFont="1" applyFill="1" applyBorder="1" applyAlignment="1">
      <alignment/>
    </xf>
    <xf numFmtId="0" fontId="38" fillId="0" borderId="106" xfId="60" applyFont="1" applyFill="1" applyBorder="1">
      <alignment/>
      <protection/>
    </xf>
    <xf numFmtId="174" fontId="50" fillId="0" borderId="87" xfId="46" applyNumberFormat="1" applyFont="1" applyFill="1" applyBorder="1" applyAlignment="1">
      <alignment horizontal="center" vertical="center" wrapText="1"/>
    </xf>
    <xf numFmtId="0" fontId="50" fillId="0" borderId="97" xfId="0" applyFont="1" applyFill="1" applyBorder="1" applyAlignment="1">
      <alignment vertical="center"/>
    </xf>
    <xf numFmtId="0" fontId="50" fillId="0" borderId="88" xfId="0" applyFont="1" applyFill="1" applyBorder="1" applyAlignment="1">
      <alignment vertical="center" wrapText="1"/>
    </xf>
    <xf numFmtId="3" fontId="50" fillId="0" borderId="88" xfId="0" applyNumberFormat="1" applyFont="1" applyFill="1" applyBorder="1" applyAlignment="1">
      <alignment vertical="center"/>
    </xf>
    <xf numFmtId="0" fontId="51" fillId="0" borderId="66" xfId="0" applyFont="1" applyFill="1" applyBorder="1" applyAlignment="1">
      <alignment vertical="center"/>
    </xf>
    <xf numFmtId="3" fontId="51" fillId="0" borderId="92" xfId="0" applyNumberFormat="1" applyFont="1" applyFill="1" applyBorder="1" applyAlignment="1">
      <alignment vertical="center"/>
    </xf>
    <xf numFmtId="9" fontId="2" fillId="0" borderId="65" xfId="79" applyFont="1" applyFill="1" applyBorder="1" applyAlignment="1">
      <alignment vertical="center"/>
    </xf>
    <xf numFmtId="9" fontId="1" fillId="0" borderId="65" xfId="79" applyFont="1" applyFill="1" applyBorder="1" applyAlignment="1">
      <alignment vertical="center"/>
    </xf>
    <xf numFmtId="9" fontId="1" fillId="0" borderId="67" xfId="79" applyFont="1" applyFill="1" applyBorder="1" applyAlignment="1">
      <alignment vertical="center"/>
    </xf>
    <xf numFmtId="9" fontId="1" fillId="0" borderId="89" xfId="79" applyFont="1" applyFill="1" applyBorder="1" applyAlignment="1">
      <alignment vertical="center"/>
    </xf>
    <xf numFmtId="9" fontId="2" fillId="0" borderId="89" xfId="79" applyFont="1" applyFill="1" applyBorder="1" applyAlignment="1">
      <alignment vertical="center"/>
    </xf>
    <xf numFmtId="9" fontId="1" fillId="0" borderId="84" xfId="79" applyFont="1" applyBorder="1" applyAlignment="1">
      <alignment vertical="center"/>
    </xf>
    <xf numFmtId="9" fontId="1" fillId="0" borderId="96" xfId="79" applyFont="1" applyBorder="1" applyAlignment="1">
      <alignment vertical="center"/>
    </xf>
    <xf numFmtId="9" fontId="1" fillId="0" borderId="67" xfId="79" applyFont="1" applyBorder="1" applyAlignment="1">
      <alignment vertical="center"/>
    </xf>
    <xf numFmtId="174" fontId="16" fillId="0" borderId="0" xfId="71" applyNumberFormat="1" applyFill="1">
      <alignment/>
      <protection/>
    </xf>
    <xf numFmtId="0" fontId="16" fillId="0" borderId="0" xfId="71" applyFill="1">
      <alignment/>
      <protection/>
    </xf>
    <xf numFmtId="0" fontId="30" fillId="0" borderId="85" xfId="71" applyFont="1" applyFill="1" applyBorder="1" applyAlignment="1">
      <alignment horizontal="right"/>
      <protection/>
    </xf>
    <xf numFmtId="0" fontId="16" fillId="0" borderId="63" xfId="71" applyFont="1" applyFill="1" applyBorder="1" applyAlignment="1">
      <alignment horizontal="right"/>
      <protection/>
    </xf>
    <xf numFmtId="0" fontId="30" fillId="0" borderId="63" xfId="71" applyFont="1" applyFill="1" applyBorder="1" applyAlignment="1">
      <alignment horizontal="right"/>
      <protection/>
    </xf>
    <xf numFmtId="9" fontId="9" fillId="37" borderId="64" xfId="79" applyFont="1" applyFill="1" applyBorder="1" applyAlignment="1">
      <alignment horizontal="right" vertical="center" wrapText="1"/>
    </xf>
    <xf numFmtId="3" fontId="8" fillId="0" borderId="0" xfId="69" applyNumberFormat="1" applyFont="1" applyBorder="1" applyAlignment="1">
      <alignment vertical="center"/>
      <protection/>
    </xf>
    <xf numFmtId="0" fontId="15" fillId="0" borderId="85" xfId="0" applyFont="1" applyFill="1" applyBorder="1" applyAlignment="1">
      <alignment vertical="center"/>
    </xf>
    <xf numFmtId="3" fontId="9" fillId="0" borderId="83" xfId="0" applyNumberFormat="1" applyFont="1" applyFill="1" applyBorder="1" applyAlignment="1">
      <alignment vertical="center"/>
    </xf>
    <xf numFmtId="9" fontId="9" fillId="0" borderId="8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174" fontId="36" fillId="0" borderId="64" xfId="46" applyNumberFormat="1" applyFont="1" applyFill="1" applyBorder="1" applyAlignment="1">
      <alignment/>
    </xf>
    <xf numFmtId="0" fontId="38" fillId="0" borderId="64" xfId="60" applyFont="1" applyFill="1" applyBorder="1" applyAlignment="1">
      <alignment vertical="top" wrapText="1"/>
      <protection/>
    </xf>
    <xf numFmtId="3" fontId="38" fillId="0" borderId="64" xfId="0" applyNumberFormat="1" applyFont="1" applyBorder="1" applyAlignment="1">
      <alignment horizontal="left" vertical="top" wrapText="1"/>
    </xf>
    <xf numFmtId="3" fontId="39" fillId="37" borderId="57" xfId="0" applyNumberFormat="1" applyFont="1" applyFill="1" applyBorder="1" applyAlignment="1">
      <alignment horizontal="right" vertical="center" wrapText="1"/>
    </xf>
    <xf numFmtId="3" fontId="38" fillId="0" borderId="92" xfId="0" applyNumberFormat="1" applyFont="1" applyBorder="1" applyAlignment="1">
      <alignment horizontal="right"/>
    </xf>
    <xf numFmtId="0" fontId="38" fillId="0" borderId="92" xfId="60" applyFont="1" applyFill="1" applyBorder="1" applyAlignment="1">
      <alignment vertical="top" wrapText="1"/>
      <protection/>
    </xf>
    <xf numFmtId="9" fontId="38" fillId="0" borderId="68" xfId="79" applyFont="1" applyBorder="1" applyAlignment="1">
      <alignment horizontal="right"/>
    </xf>
    <xf numFmtId="0" fontId="38" fillId="0" borderId="11" xfId="60" applyFont="1" applyFill="1" applyBorder="1" applyAlignment="1">
      <alignment vertical="top" wrapText="1"/>
      <protection/>
    </xf>
    <xf numFmtId="174" fontId="36" fillId="0" borderId="11" xfId="46" applyNumberFormat="1" applyFont="1" applyFill="1" applyBorder="1" applyAlignment="1">
      <alignment/>
    </xf>
    <xf numFmtId="3" fontId="38" fillId="0" borderId="11" xfId="0" applyNumberFormat="1" applyFont="1" applyBorder="1" applyAlignment="1">
      <alignment horizontal="right"/>
    </xf>
    <xf numFmtId="3" fontId="39" fillId="0" borderId="11" xfId="0" applyNumberFormat="1" applyFont="1" applyFill="1" applyBorder="1" applyAlignment="1">
      <alignment horizontal="right" vertical="center" wrapText="1"/>
    </xf>
    <xf numFmtId="9" fontId="39" fillId="0" borderId="116" xfId="79" applyFont="1" applyFill="1" applyBorder="1" applyAlignment="1">
      <alignment horizontal="right"/>
    </xf>
    <xf numFmtId="0" fontId="38" fillId="0" borderId="11" xfId="60" applyFont="1" applyFill="1" applyBorder="1">
      <alignment/>
      <protection/>
    </xf>
    <xf numFmtId="3" fontId="38" fillId="0" borderId="11" xfId="0" applyNumberFormat="1" applyFont="1" applyBorder="1" applyAlignment="1">
      <alignment horizontal="center"/>
    </xf>
    <xf numFmtId="9" fontId="38" fillId="0" borderId="116" xfId="79" applyFont="1" applyBorder="1" applyAlignment="1">
      <alignment horizontal="right"/>
    </xf>
    <xf numFmtId="3" fontId="39" fillId="33" borderId="19" xfId="0" applyNumberFormat="1" applyFont="1" applyFill="1" applyBorder="1" applyAlignment="1">
      <alignment vertical="center" wrapText="1"/>
    </xf>
    <xf numFmtId="9" fontId="39" fillId="33" borderId="20" xfId="79" applyFont="1" applyFill="1" applyBorder="1" applyAlignment="1">
      <alignment vertical="center" wrapText="1"/>
    </xf>
    <xf numFmtId="0" fontId="41" fillId="37" borderId="60" xfId="70" applyFont="1" applyFill="1" applyBorder="1" applyAlignment="1">
      <alignment vertical="center"/>
      <protection/>
    </xf>
    <xf numFmtId="0" fontId="39" fillId="37" borderId="57" xfId="60" applyFont="1" applyFill="1" applyBorder="1" applyAlignment="1">
      <alignment vertical="center" wrapText="1"/>
      <protection/>
    </xf>
    <xf numFmtId="3" fontId="39" fillId="37" borderId="57" xfId="0" applyNumberFormat="1" applyFont="1" applyFill="1" applyBorder="1" applyAlignment="1">
      <alignment vertical="center" wrapText="1"/>
    </xf>
    <xf numFmtId="9" fontId="39" fillId="37" borderId="67" xfId="79" applyFont="1" applyFill="1" applyBorder="1" applyAlignment="1">
      <alignment vertical="center"/>
    </xf>
    <xf numFmtId="174" fontId="39" fillId="37" borderId="57" xfId="46" applyNumberFormat="1" applyFont="1" applyFill="1" applyBorder="1" applyAlignment="1">
      <alignment horizontal="right" vertical="center" wrapText="1"/>
    </xf>
    <xf numFmtId="0" fontId="18" fillId="0" borderId="64" xfId="0" applyFont="1" applyFill="1" applyBorder="1" applyAlignment="1">
      <alignment vertical="center"/>
    </xf>
    <xf numFmtId="3" fontId="14" fillId="0" borderId="64" xfId="69" applyNumberFormat="1" applyFont="1" applyBorder="1" applyAlignment="1">
      <alignment vertical="center"/>
      <protection/>
    </xf>
    <xf numFmtId="3" fontId="14" fillId="0" borderId="65" xfId="69" applyNumberFormat="1" applyFont="1" applyBorder="1" applyAlignment="1">
      <alignment vertical="center"/>
      <protection/>
    </xf>
    <xf numFmtId="0" fontId="14" fillId="0" borderId="64" xfId="0" applyFont="1" applyFill="1" applyBorder="1" applyAlignment="1">
      <alignment vertical="center"/>
    </xf>
    <xf numFmtId="0" fontId="31" fillId="7" borderId="60" xfId="0" applyFont="1" applyFill="1" applyBorder="1" applyAlignment="1">
      <alignment vertical="center"/>
    </xf>
    <xf numFmtId="0" fontId="31" fillId="7" borderId="57" xfId="0" applyFont="1" applyFill="1" applyBorder="1" applyAlignment="1">
      <alignment vertical="center"/>
    </xf>
    <xf numFmtId="3" fontId="31" fillId="7" borderId="57" xfId="0" applyNumberFormat="1" applyFont="1" applyFill="1" applyBorder="1" applyAlignment="1">
      <alignment vertical="center"/>
    </xf>
    <xf numFmtId="3" fontId="10" fillId="7" borderId="57" xfId="0" applyNumberFormat="1" applyFont="1" applyFill="1" applyBorder="1" applyAlignment="1">
      <alignment vertical="center"/>
    </xf>
    <xf numFmtId="9" fontId="31" fillId="7" borderId="67" xfId="79" applyFont="1" applyFill="1" applyBorder="1" applyAlignment="1">
      <alignment vertical="center"/>
    </xf>
    <xf numFmtId="3" fontId="8" fillId="0" borderId="119" xfId="0" applyNumberFormat="1" applyFont="1" applyBorder="1" applyAlignment="1">
      <alignment/>
    </xf>
    <xf numFmtId="3" fontId="8" fillId="0" borderId="106" xfId="0" applyNumberFormat="1" applyFont="1" applyBorder="1" applyAlignment="1">
      <alignment/>
    </xf>
    <xf numFmtId="3" fontId="8" fillId="0" borderId="106" xfId="0" applyNumberFormat="1" applyFont="1" applyFill="1" applyBorder="1" applyAlignment="1">
      <alignment/>
    </xf>
    <xf numFmtId="3" fontId="8" fillId="0" borderId="120" xfId="0" applyNumberFormat="1" applyFont="1" applyBorder="1" applyAlignment="1">
      <alignment/>
    </xf>
    <xf numFmtId="3" fontId="9" fillId="38" borderId="112" xfId="0" applyNumberFormat="1" applyFont="1" applyFill="1" applyBorder="1" applyAlignment="1">
      <alignment/>
    </xf>
    <xf numFmtId="3" fontId="8" fillId="0" borderId="111" xfId="0" applyNumberFormat="1" applyFont="1" applyBorder="1" applyAlignment="1">
      <alignment/>
    </xf>
    <xf numFmtId="3" fontId="9" fillId="0" borderId="119" xfId="0" applyNumberFormat="1" applyFont="1" applyBorder="1" applyAlignment="1">
      <alignment/>
    </xf>
    <xf numFmtId="3" fontId="9" fillId="0" borderId="106" xfId="0" applyNumberFormat="1" applyFont="1" applyBorder="1" applyAlignment="1">
      <alignment/>
    </xf>
    <xf numFmtId="174" fontId="11" fillId="0" borderId="88" xfId="46" applyNumberFormat="1" applyFont="1" applyBorder="1" applyAlignment="1">
      <alignment horizontal="center" vertical="center" wrapText="1"/>
    </xf>
    <xf numFmtId="174" fontId="11" fillId="0" borderId="64" xfId="46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/>
    </xf>
    <xf numFmtId="0" fontId="9" fillId="0" borderId="36" xfId="62" applyFont="1" applyBorder="1" applyAlignment="1">
      <alignment horizontal="center" vertical="center"/>
      <protection/>
    </xf>
    <xf numFmtId="0" fontId="8" fillId="0" borderId="121" xfId="62" applyFont="1" applyBorder="1">
      <alignment/>
      <protection/>
    </xf>
    <xf numFmtId="0" fontId="9" fillId="0" borderId="18" xfId="62" applyFont="1" applyBorder="1" applyAlignment="1">
      <alignment horizontal="left"/>
      <protection/>
    </xf>
    <xf numFmtId="0" fontId="8" fillId="0" borderId="32" xfId="62" applyFont="1" applyBorder="1">
      <alignment/>
      <protection/>
    </xf>
    <xf numFmtId="0" fontId="8" fillId="0" borderId="28" xfId="62" applyFont="1" applyBorder="1">
      <alignment/>
      <protection/>
    </xf>
    <xf numFmtId="0" fontId="9" fillId="0" borderId="36" xfId="62" applyFont="1" applyBorder="1">
      <alignment/>
      <protection/>
    </xf>
    <xf numFmtId="0" fontId="8" fillId="0" borderId="26" xfId="62" applyFont="1" applyBorder="1" applyAlignment="1">
      <alignment wrapText="1"/>
      <protection/>
    </xf>
    <xf numFmtId="3" fontId="8" fillId="34" borderId="0" xfId="46" applyNumberFormat="1" applyFont="1" applyFill="1" applyBorder="1" applyAlignment="1">
      <alignment horizontal="right"/>
    </xf>
    <xf numFmtId="3" fontId="8" fillId="34" borderId="28" xfId="46" applyNumberFormat="1" applyFont="1" applyFill="1" applyBorder="1" applyAlignment="1">
      <alignment horizontal="right"/>
    </xf>
    <xf numFmtId="3" fontId="8" fillId="0" borderId="34" xfId="46" applyNumberFormat="1" applyFont="1" applyFill="1" applyBorder="1" applyAlignment="1">
      <alignment horizontal="right"/>
    </xf>
    <xf numFmtId="3" fontId="8" fillId="0" borderId="28" xfId="46" applyNumberFormat="1" applyFont="1" applyFill="1" applyBorder="1" applyAlignment="1">
      <alignment horizontal="right"/>
    </xf>
    <xf numFmtId="0" fontId="8" fillId="0" borderId="30" xfId="62" applyFont="1" applyBorder="1" applyAlignment="1">
      <alignment wrapText="1"/>
      <protection/>
    </xf>
    <xf numFmtId="0" fontId="8" fillId="0" borderId="29" xfId="62" applyFont="1" applyBorder="1" applyAlignment="1">
      <alignment wrapText="1"/>
      <protection/>
    </xf>
    <xf numFmtId="0" fontId="9" fillId="0" borderId="36" xfId="62" applyFont="1" applyBorder="1">
      <alignment/>
      <protection/>
    </xf>
    <xf numFmtId="3" fontId="9" fillId="0" borderId="64" xfId="46" applyNumberFormat="1" applyFont="1" applyBorder="1" applyAlignment="1">
      <alignment horizontal="right" vertical="center" wrapText="1"/>
    </xf>
    <xf numFmtId="3" fontId="9" fillId="0" borderId="65" xfId="46" applyNumberFormat="1" applyFont="1" applyBorder="1" applyAlignment="1">
      <alignment horizontal="right" vertical="center" wrapText="1"/>
    </xf>
    <xf numFmtId="0" fontId="45" fillId="40" borderId="57" xfId="0" applyFont="1" applyFill="1" applyBorder="1" applyAlignment="1">
      <alignment vertical="center" wrapText="1"/>
    </xf>
    <xf numFmtId="3" fontId="31" fillId="40" borderId="57" xfId="0" applyNumberFormat="1" applyFont="1" applyFill="1" applyBorder="1" applyAlignment="1">
      <alignment vertical="center"/>
    </xf>
    <xf numFmtId="0" fontId="45" fillId="40" borderId="60" xfId="0" applyFont="1" applyFill="1" applyBorder="1" applyAlignment="1">
      <alignment vertical="center" wrapText="1"/>
    </xf>
    <xf numFmtId="3" fontId="39" fillId="40" borderId="57" xfId="0" applyNumberFormat="1" applyFont="1" applyFill="1" applyBorder="1" applyAlignment="1">
      <alignment vertical="center"/>
    </xf>
    <xf numFmtId="9" fontId="45" fillId="40" borderId="67" xfId="79" applyFont="1" applyFill="1" applyBorder="1" applyAlignment="1">
      <alignment vertical="center" wrapText="1"/>
    </xf>
    <xf numFmtId="3" fontId="9" fillId="40" borderId="36" xfId="0" applyNumberFormat="1" applyFont="1" applyFill="1" applyBorder="1" applyAlignment="1">
      <alignment vertical="center"/>
    </xf>
    <xf numFmtId="3" fontId="39" fillId="40" borderId="40" xfId="0" applyNumberFormat="1" applyFont="1" applyFill="1" applyBorder="1" applyAlignment="1">
      <alignment vertical="center"/>
    </xf>
    <xf numFmtId="3" fontId="39" fillId="40" borderId="36" xfId="0" applyNumberFormat="1" applyFont="1" applyFill="1" applyBorder="1" applyAlignment="1">
      <alignment vertical="center"/>
    </xf>
    <xf numFmtId="3" fontId="39" fillId="40" borderId="37" xfId="0" applyNumberFormat="1" applyFont="1" applyFill="1" applyBorder="1" applyAlignment="1">
      <alignment vertical="center"/>
    </xf>
    <xf numFmtId="3" fontId="39" fillId="40" borderId="20" xfId="0" applyNumberFormat="1" applyFont="1" applyFill="1" applyBorder="1" applyAlignment="1">
      <alignment vertical="center"/>
    </xf>
    <xf numFmtId="9" fontId="39" fillId="40" borderId="36" xfId="79" applyFont="1" applyFill="1" applyBorder="1" applyAlignment="1">
      <alignment vertical="center"/>
    </xf>
    <xf numFmtId="3" fontId="8" fillId="0" borderId="92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horizontal="center" vertical="center"/>
    </xf>
    <xf numFmtId="3" fontId="8" fillId="0" borderId="64" xfId="68" applyNumberFormat="1" applyFont="1" applyBorder="1" applyAlignment="1">
      <alignment vertical="center"/>
      <protection/>
    </xf>
    <xf numFmtId="3" fontId="8" fillId="0" borderId="65" xfId="68" applyNumberFormat="1" applyFont="1" applyBorder="1" applyAlignment="1">
      <alignment vertical="center"/>
      <protection/>
    </xf>
    <xf numFmtId="0" fontId="8" fillId="0" borderId="113" xfId="62" applyFont="1" applyBorder="1" applyAlignment="1">
      <alignment wrapText="1"/>
      <protection/>
    </xf>
    <xf numFmtId="0" fontId="38" fillId="0" borderId="88" xfId="60" applyFont="1" applyFill="1" applyBorder="1" applyAlignment="1">
      <alignment vertical="center"/>
      <protection/>
    </xf>
    <xf numFmtId="0" fontId="43" fillId="8" borderId="88" xfId="60" applyFont="1" applyFill="1" applyBorder="1" applyAlignment="1">
      <alignment vertical="center" wrapText="1"/>
      <protection/>
    </xf>
    <xf numFmtId="0" fontId="38" fillId="0" borderId="64" xfId="60" applyFont="1" applyFill="1" applyBorder="1" applyAlignment="1">
      <alignment vertical="center" wrapText="1"/>
      <protection/>
    </xf>
    <xf numFmtId="0" fontId="43" fillId="8" borderId="64" xfId="60" applyFont="1" applyFill="1" applyBorder="1" applyAlignment="1">
      <alignment vertical="center" wrapText="1"/>
      <protection/>
    </xf>
    <xf numFmtId="0" fontId="38" fillId="0" borderId="92" xfId="60" applyFont="1" applyFill="1" applyBorder="1" applyAlignment="1">
      <alignment vertical="center" wrapText="1"/>
      <protection/>
    </xf>
    <xf numFmtId="0" fontId="38" fillId="0" borderId="88" xfId="60" applyFont="1" applyFill="1" applyBorder="1" applyAlignment="1">
      <alignment vertical="center" wrapText="1"/>
      <protection/>
    </xf>
    <xf numFmtId="3" fontId="38" fillId="0" borderId="0" xfId="0" applyNumberFormat="1" applyFont="1" applyAlignment="1">
      <alignment vertical="center"/>
    </xf>
    <xf numFmtId="0" fontId="12" fillId="0" borderId="64" xfId="71" applyFont="1" applyBorder="1" applyAlignment="1">
      <alignment vertical="center"/>
      <protection/>
    </xf>
    <xf numFmtId="0" fontId="12" fillId="0" borderId="57" xfId="71" applyFont="1" applyBorder="1">
      <alignment/>
      <protection/>
    </xf>
    <xf numFmtId="0" fontId="39" fillId="0" borderId="60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/>
    </xf>
    <xf numFmtId="0" fontId="38" fillId="0" borderId="22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174" fontId="38" fillId="0" borderId="22" xfId="46" applyNumberFormat="1" applyFont="1" applyBorder="1" applyAlignment="1">
      <alignment vertical="center" wrapText="1"/>
    </xf>
    <xf numFmtId="174" fontId="38" fillId="0" borderId="10" xfId="46" applyNumberFormat="1" applyFont="1" applyBorder="1" applyAlignment="1">
      <alignment vertical="center" wrapText="1"/>
    </xf>
    <xf numFmtId="9" fontId="38" fillId="0" borderId="22" xfId="79" applyFont="1" applyBorder="1" applyAlignment="1">
      <alignment vertical="center" wrapText="1"/>
    </xf>
    <xf numFmtId="3" fontId="51" fillId="0" borderId="64" xfId="0" applyNumberFormat="1" applyFont="1" applyFill="1" applyBorder="1" applyAlignment="1">
      <alignment vertical="center"/>
    </xf>
    <xf numFmtId="9" fontId="0" fillId="0" borderId="65" xfId="79" applyNumberFormat="1" applyFont="1" applyFill="1" applyBorder="1" applyAlignment="1">
      <alignment vertical="center"/>
    </xf>
    <xf numFmtId="174" fontId="9" fillId="0" borderId="87" xfId="46" applyNumberFormat="1" applyFont="1" applyFill="1" applyBorder="1" applyAlignment="1">
      <alignment horizontal="center" vertical="center" wrapText="1"/>
    </xf>
    <xf numFmtId="174" fontId="38" fillId="0" borderId="92" xfId="46" applyNumberFormat="1" applyFont="1" applyFill="1" applyBorder="1" applyAlignment="1">
      <alignment horizontal="right"/>
    </xf>
    <xf numFmtId="0" fontId="44" fillId="0" borderId="92" xfId="72" applyFont="1" applyBorder="1">
      <alignment/>
      <protection/>
    </xf>
    <xf numFmtId="174" fontId="38" fillId="0" borderId="120" xfId="46" applyNumberFormat="1" applyFont="1" applyFill="1" applyBorder="1" applyAlignment="1">
      <alignment horizontal="right"/>
    </xf>
    <xf numFmtId="9" fontId="44" fillId="0" borderId="74" xfId="79" applyFont="1" applyBorder="1" applyAlignment="1">
      <alignment/>
    </xf>
    <xf numFmtId="0" fontId="51" fillId="0" borderId="88" xfId="0" applyFont="1" applyFill="1" applyBorder="1" applyAlignment="1">
      <alignment vertical="center" wrapText="1"/>
    </xf>
    <xf numFmtId="3" fontId="51" fillId="0" borderId="88" xfId="0" applyNumberFormat="1" applyFont="1" applyFill="1" applyBorder="1" applyAlignment="1">
      <alignment vertical="center"/>
    </xf>
    <xf numFmtId="9" fontId="0" fillId="0" borderId="89" xfId="79" applyFont="1" applyFill="1" applyBorder="1" applyAlignment="1">
      <alignment vertical="center"/>
    </xf>
    <xf numFmtId="0" fontId="50" fillId="0" borderId="85" xfId="0" applyFont="1" applyFill="1" applyBorder="1" applyAlignment="1">
      <alignment vertical="center"/>
    </xf>
    <xf numFmtId="0" fontId="50" fillId="0" borderId="83" xfId="0" applyFont="1" applyFill="1" applyBorder="1" applyAlignment="1">
      <alignment vertical="center" wrapText="1"/>
    </xf>
    <xf numFmtId="3" fontId="50" fillId="0" borderId="83" xfId="0" applyNumberFormat="1" applyFont="1" applyFill="1" applyBorder="1" applyAlignment="1">
      <alignment vertical="center"/>
    </xf>
    <xf numFmtId="9" fontId="1" fillId="0" borderId="84" xfId="79" applyFont="1" applyFill="1" applyBorder="1" applyAlignment="1">
      <alignment vertical="center"/>
    </xf>
    <xf numFmtId="0" fontId="50" fillId="0" borderId="65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174" fontId="39" fillId="0" borderId="87" xfId="46" applyNumberFormat="1" applyFont="1" applyFill="1" applyBorder="1" applyAlignment="1">
      <alignment horizontal="center" vertical="center" wrapText="1"/>
    </xf>
    <xf numFmtId="3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3" fontId="39" fillId="35" borderId="57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45" fillId="36" borderId="60" xfId="0" applyFont="1" applyFill="1" applyBorder="1" applyAlignment="1">
      <alignment vertical="center" wrapText="1"/>
    </xf>
    <xf numFmtId="0" fontId="45" fillId="36" borderId="57" xfId="0" applyFont="1" applyFill="1" applyBorder="1" applyAlignment="1">
      <alignment vertical="center" wrapText="1"/>
    </xf>
    <xf numFmtId="3" fontId="39" fillId="41" borderId="57" xfId="0" applyNumberFormat="1" applyFont="1" applyFill="1" applyBorder="1" applyAlignment="1">
      <alignment vertical="center"/>
    </xf>
    <xf numFmtId="9" fontId="45" fillId="36" borderId="67" xfId="79" applyFont="1" applyFill="1" applyBorder="1" applyAlignment="1">
      <alignment vertical="center" wrapText="1"/>
    </xf>
    <xf numFmtId="0" fontId="45" fillId="0" borderId="0" xfId="0" applyFont="1" applyAlignment="1">
      <alignment/>
    </xf>
    <xf numFmtId="3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38" fillId="0" borderId="64" xfId="0" applyFont="1" applyFill="1" applyBorder="1" applyAlignment="1">
      <alignment/>
    </xf>
    <xf numFmtId="3" fontId="44" fillId="0" borderId="64" xfId="0" applyNumberFormat="1" applyFont="1" applyBorder="1" applyAlignment="1">
      <alignment/>
    </xf>
    <xf numFmtId="9" fontId="38" fillId="0" borderId="65" xfId="0" applyNumberFormat="1" applyFont="1" applyBorder="1" applyAlignment="1">
      <alignment/>
    </xf>
    <xf numFmtId="3" fontId="44" fillId="0" borderId="64" xfId="0" applyNumberFormat="1" applyFont="1" applyFill="1" applyBorder="1" applyAlignment="1">
      <alignment/>
    </xf>
    <xf numFmtId="9" fontId="39" fillId="38" borderId="67" xfId="79" applyFont="1" applyFill="1" applyBorder="1" applyAlignment="1">
      <alignment vertical="center"/>
    </xf>
    <xf numFmtId="0" fontId="39" fillId="35" borderId="57" xfId="0" applyFont="1" applyFill="1" applyBorder="1" applyAlignment="1">
      <alignment vertical="center"/>
    </xf>
    <xf numFmtId="3" fontId="39" fillId="35" borderId="57" xfId="0" applyNumberFormat="1" applyFont="1" applyFill="1" applyBorder="1" applyAlignment="1">
      <alignment vertical="center"/>
    </xf>
    <xf numFmtId="9" fontId="39" fillId="35" borderId="67" xfId="79" applyFont="1" applyFill="1" applyBorder="1" applyAlignment="1">
      <alignment vertical="center"/>
    </xf>
    <xf numFmtId="0" fontId="45" fillId="0" borderId="85" xfId="0" applyFont="1" applyBorder="1" applyAlignment="1">
      <alignment vertical="center"/>
    </xf>
    <xf numFmtId="0" fontId="39" fillId="0" borderId="83" xfId="0" applyFont="1" applyBorder="1" applyAlignment="1">
      <alignment vertical="center"/>
    </xf>
    <xf numFmtId="3" fontId="39" fillId="0" borderId="83" xfId="0" applyNumberFormat="1" applyFont="1" applyBorder="1" applyAlignment="1">
      <alignment vertical="center"/>
    </xf>
    <xf numFmtId="9" fontId="39" fillId="0" borderId="84" xfId="79" applyFont="1" applyBorder="1" applyAlignment="1">
      <alignment vertical="center"/>
    </xf>
    <xf numFmtId="0" fontId="48" fillId="0" borderId="63" xfId="0" applyFont="1" applyBorder="1" applyAlignment="1">
      <alignment vertical="center"/>
    </xf>
    <xf numFmtId="0" fontId="40" fillId="0" borderId="64" xfId="0" applyFont="1" applyBorder="1" applyAlignment="1">
      <alignment vertical="center"/>
    </xf>
    <xf numFmtId="3" fontId="40" fillId="0" borderId="64" xfId="0" applyNumberFormat="1" applyFont="1" applyBorder="1" applyAlignment="1">
      <alignment vertical="center"/>
    </xf>
    <xf numFmtId="9" fontId="40" fillId="0" borderId="65" xfId="79" applyFont="1" applyBorder="1" applyAlignment="1">
      <alignment vertical="center"/>
    </xf>
    <xf numFmtId="3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64" xfId="0" applyFont="1" applyBorder="1" applyAlignment="1">
      <alignment vertical="center"/>
    </xf>
    <xf numFmtId="3" fontId="48" fillId="0" borderId="64" xfId="0" applyNumberFormat="1" applyFont="1" applyBorder="1" applyAlignment="1">
      <alignment vertical="center"/>
    </xf>
    <xf numFmtId="9" fontId="48" fillId="0" borderId="65" xfId="79" applyFont="1" applyBorder="1" applyAlignment="1">
      <alignment vertical="center"/>
    </xf>
    <xf numFmtId="9" fontId="38" fillId="0" borderId="65" xfId="79" applyFont="1" applyBorder="1" applyAlignment="1">
      <alignment/>
    </xf>
    <xf numFmtId="3" fontId="44" fillId="0" borderId="0" xfId="0" applyNumberFormat="1" applyFont="1" applyAlignment="1">
      <alignment/>
    </xf>
    <xf numFmtId="0" fontId="44" fillId="0" borderId="63" xfId="0" applyFont="1" applyBorder="1" applyAlignment="1">
      <alignment vertical="center"/>
    </xf>
    <xf numFmtId="0" fontId="38" fillId="0" borderId="64" xfId="0" applyFont="1" applyBorder="1" applyAlignment="1">
      <alignment vertical="center"/>
    </xf>
    <xf numFmtId="9" fontId="38" fillId="0" borderId="65" xfId="79" applyFont="1" applyBorder="1" applyAlignment="1">
      <alignment vertical="center"/>
    </xf>
    <xf numFmtId="0" fontId="44" fillId="0" borderId="0" xfId="0" applyFont="1" applyAlignment="1">
      <alignment vertical="center" wrapText="1"/>
    </xf>
    <xf numFmtId="3" fontId="38" fillId="0" borderId="87" xfId="0" applyNumberFormat="1" applyFont="1" applyBorder="1" applyAlignment="1">
      <alignment/>
    </xf>
    <xf numFmtId="3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28" xfId="0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174" fontId="9" fillId="0" borderId="103" xfId="49" applyNumberFormat="1" applyFont="1" applyBorder="1" applyAlignment="1">
      <alignment horizontal="center" vertical="center" wrapText="1"/>
    </xf>
    <xf numFmtId="174" fontId="9" fillId="0" borderId="104" xfId="49" applyNumberFormat="1" applyFont="1" applyBorder="1" applyAlignment="1">
      <alignment horizontal="center" vertical="center" wrapText="1"/>
    </xf>
    <xf numFmtId="174" fontId="16" fillId="0" borderId="0" xfId="46" applyNumberFormat="1" applyFont="1" applyAlignment="1">
      <alignment/>
    </xf>
    <xf numFmtId="0" fontId="29" fillId="42" borderId="34" xfId="71" applyFont="1" applyFill="1" applyBorder="1" applyAlignment="1">
      <alignment horizontal="right"/>
      <protection/>
    </xf>
    <xf numFmtId="174" fontId="9" fillId="0" borderId="57" xfId="49" applyNumberFormat="1" applyFont="1" applyFill="1" applyBorder="1" applyAlignment="1">
      <alignment/>
    </xf>
    <xf numFmtId="174" fontId="12" fillId="0" borderId="83" xfId="49" applyNumberFormat="1" applyFont="1" applyFill="1" applyBorder="1" applyAlignment="1">
      <alignment vertical="center"/>
    </xf>
    <xf numFmtId="174" fontId="12" fillId="0" borderId="84" xfId="49" applyNumberFormat="1" applyFont="1" applyFill="1" applyBorder="1" applyAlignment="1">
      <alignment vertical="center"/>
    </xf>
    <xf numFmtId="174" fontId="8" fillId="0" borderId="64" xfId="49" applyNumberFormat="1" applyFont="1" applyBorder="1" applyAlignment="1">
      <alignment vertical="center"/>
    </xf>
    <xf numFmtId="174" fontId="8" fillId="0" borderId="64" xfId="49" applyNumberFormat="1" applyFont="1" applyFill="1" applyBorder="1" applyAlignment="1">
      <alignment vertical="center"/>
    </xf>
    <xf numFmtId="174" fontId="8" fillId="0" borderId="65" xfId="49" applyNumberFormat="1" applyFont="1" applyBorder="1" applyAlignment="1">
      <alignment vertical="center"/>
    </xf>
    <xf numFmtId="174" fontId="12" fillId="0" borderId="64" xfId="49" applyNumberFormat="1" applyFont="1" applyBorder="1" applyAlignment="1">
      <alignment vertical="center"/>
    </xf>
    <xf numFmtId="174" fontId="12" fillId="0" borderId="64" xfId="49" applyNumberFormat="1" applyFont="1" applyFill="1" applyBorder="1" applyAlignment="1">
      <alignment vertical="center"/>
    </xf>
    <xf numFmtId="174" fontId="12" fillId="0" borderId="65" xfId="49" applyNumberFormat="1" applyFont="1" applyBorder="1" applyAlignment="1">
      <alignment vertical="center"/>
    </xf>
    <xf numFmtId="174" fontId="8" fillId="0" borderId="64" xfId="49" applyNumberFormat="1" applyFont="1" applyBorder="1" applyAlignment="1">
      <alignment vertical="center"/>
    </xf>
    <xf numFmtId="174" fontId="8" fillId="0" borderId="64" xfId="49" applyNumberFormat="1" applyFont="1" applyBorder="1" applyAlignment="1">
      <alignment/>
    </xf>
    <xf numFmtId="174" fontId="8" fillId="0" borderId="64" xfId="49" applyNumberFormat="1" applyFont="1" applyBorder="1" applyAlignment="1">
      <alignment/>
    </xf>
    <xf numFmtId="174" fontId="12" fillId="0" borderId="64" xfId="49" applyNumberFormat="1" applyFont="1" applyBorder="1" applyAlignment="1">
      <alignment/>
    </xf>
    <xf numFmtId="174" fontId="12" fillId="39" borderId="64" xfId="49" applyNumberFormat="1" applyFont="1" applyFill="1" applyBorder="1" applyAlignment="1">
      <alignment vertical="center"/>
    </xf>
    <xf numFmtId="174" fontId="8" fillId="0" borderId="87" xfId="49" applyNumberFormat="1" applyFont="1" applyBorder="1" applyAlignment="1">
      <alignment vertical="center"/>
    </xf>
    <xf numFmtId="174" fontId="12" fillId="0" borderId="57" xfId="49" applyNumberFormat="1" applyFont="1" applyBorder="1" applyAlignment="1">
      <alignment/>
    </xf>
    <xf numFmtId="174" fontId="12" fillId="42" borderId="67" xfId="49" applyNumberFormat="1" applyFont="1" applyFill="1" applyBorder="1" applyAlignment="1">
      <alignment/>
    </xf>
    <xf numFmtId="174" fontId="9" fillId="0" borderId="0" xfId="49" applyNumberFormat="1" applyFont="1" applyBorder="1" applyAlignment="1">
      <alignment/>
    </xf>
    <xf numFmtId="174" fontId="16" fillId="0" borderId="0" xfId="46" applyNumberFormat="1" applyFont="1" applyBorder="1" applyAlignment="1">
      <alignment/>
    </xf>
    <xf numFmtId="0" fontId="29" fillId="42" borderId="60" xfId="71" applyFont="1" applyFill="1" applyBorder="1" applyAlignment="1">
      <alignment horizontal="right"/>
      <protection/>
    </xf>
    <xf numFmtId="174" fontId="9" fillId="0" borderId="57" xfId="49" applyNumberFormat="1" applyFont="1" applyBorder="1" applyAlignment="1">
      <alignment horizontal="center" vertical="center" wrapText="1"/>
    </xf>
    <xf numFmtId="174" fontId="9" fillId="0" borderId="67" xfId="49" applyNumberFormat="1" applyFont="1" applyBorder="1" applyAlignment="1">
      <alignment horizontal="center" vertical="center" wrapText="1"/>
    </xf>
    <xf numFmtId="174" fontId="12" fillId="0" borderId="83" xfId="49" applyNumberFormat="1" applyFont="1" applyBorder="1" applyAlignment="1">
      <alignment/>
    </xf>
    <xf numFmtId="174" fontId="12" fillId="0" borderId="119" xfId="49" applyNumberFormat="1" applyFont="1" applyFill="1" applyBorder="1" applyAlignment="1">
      <alignment/>
    </xf>
    <xf numFmtId="174" fontId="12" fillId="0" borderId="119" xfId="49" applyNumberFormat="1" applyFont="1" applyBorder="1" applyAlignment="1">
      <alignment/>
    </xf>
    <xf numFmtId="174" fontId="12" fillId="0" borderId="84" xfId="49" applyNumberFormat="1" applyFont="1" applyBorder="1" applyAlignment="1">
      <alignment/>
    </xf>
    <xf numFmtId="174" fontId="14" fillId="0" borderId="64" xfId="49" applyNumberFormat="1" applyFont="1" applyBorder="1" applyAlignment="1">
      <alignment/>
    </xf>
    <xf numFmtId="174" fontId="14" fillId="0" borderId="106" xfId="49" applyNumberFormat="1" applyFont="1" applyFill="1" applyBorder="1" applyAlignment="1">
      <alignment/>
    </xf>
    <xf numFmtId="174" fontId="14" fillId="0" borderId="106" xfId="49" applyNumberFormat="1" applyFont="1" applyBorder="1" applyAlignment="1">
      <alignment/>
    </xf>
    <xf numFmtId="174" fontId="14" fillId="0" borderId="65" xfId="49" applyNumberFormat="1" applyFont="1" applyBorder="1" applyAlignment="1">
      <alignment/>
    </xf>
    <xf numFmtId="174" fontId="8" fillId="0" borderId="64" xfId="49" applyNumberFormat="1" applyFont="1" applyFill="1" applyBorder="1" applyAlignment="1">
      <alignment/>
    </xf>
    <xf numFmtId="174" fontId="8" fillId="0" borderId="106" xfId="49" applyNumberFormat="1" applyFont="1" applyFill="1" applyBorder="1" applyAlignment="1">
      <alignment/>
    </xf>
    <xf numFmtId="174" fontId="8" fillId="0" borderId="65" xfId="49" applyNumberFormat="1" applyFont="1" applyFill="1" applyBorder="1" applyAlignment="1">
      <alignment/>
    </xf>
    <xf numFmtId="174" fontId="12" fillId="0" borderId="64" xfId="49" applyNumberFormat="1" applyFont="1" applyBorder="1" applyAlignment="1">
      <alignment/>
    </xf>
    <xf numFmtId="174" fontId="12" fillId="0" borderId="106" xfId="49" applyNumberFormat="1" applyFont="1" applyFill="1" applyBorder="1" applyAlignment="1">
      <alignment/>
    </xf>
    <xf numFmtId="174" fontId="12" fillId="0" borderId="65" xfId="49" applyNumberFormat="1" applyFont="1" applyFill="1" applyBorder="1" applyAlignment="1">
      <alignment/>
    </xf>
    <xf numFmtId="174" fontId="8" fillId="0" borderId="0" xfId="49" applyNumberFormat="1" applyFont="1" applyBorder="1" applyAlignment="1">
      <alignment/>
    </xf>
    <xf numFmtId="174" fontId="8" fillId="0" borderId="0" xfId="49" applyNumberFormat="1" applyFont="1" applyFill="1" applyBorder="1" applyAlignment="1">
      <alignment/>
    </xf>
    <xf numFmtId="0" fontId="29" fillId="42" borderId="37" xfId="71" applyFont="1" applyFill="1" applyBorder="1" applyAlignment="1">
      <alignment horizontal="right"/>
      <protection/>
    </xf>
    <xf numFmtId="174" fontId="9" fillId="0" borderId="57" xfId="49" applyNumberFormat="1" applyFont="1" applyFill="1" applyBorder="1" applyAlignment="1">
      <alignment horizontal="center" vertical="center" wrapText="1"/>
    </xf>
    <xf numFmtId="174" fontId="14" fillId="0" borderId="88" xfId="49" applyNumberFormat="1" applyFont="1" applyFill="1" applyBorder="1" applyAlignment="1">
      <alignment/>
    </xf>
    <xf numFmtId="174" fontId="14" fillId="0" borderId="122" xfId="49" applyNumberFormat="1" applyFont="1" applyFill="1" applyBorder="1" applyAlignment="1">
      <alignment/>
    </xf>
    <xf numFmtId="174" fontId="14" fillId="0" borderId="89" xfId="49" applyNumberFormat="1" applyFont="1" applyFill="1" applyBorder="1" applyAlignment="1">
      <alignment/>
    </xf>
    <xf numFmtId="174" fontId="26" fillId="0" borderId="0" xfId="46" applyNumberFormat="1" applyFont="1" applyAlignment="1">
      <alignment/>
    </xf>
    <xf numFmtId="174" fontId="14" fillId="0" borderId="64" xfId="49" applyNumberFormat="1" applyFont="1" applyBorder="1" applyAlignment="1">
      <alignment/>
    </xf>
    <xf numFmtId="174" fontId="14" fillId="0" borderId="64" xfId="49" applyNumberFormat="1" applyFont="1" applyFill="1" applyBorder="1" applyAlignment="1">
      <alignment/>
    </xf>
    <xf numFmtId="174" fontId="14" fillId="0" borderId="65" xfId="49" applyNumberFormat="1" applyFont="1" applyFill="1" applyBorder="1" applyAlignment="1">
      <alignment/>
    </xf>
    <xf numFmtId="174" fontId="8" fillId="0" borderId="64" xfId="49" applyNumberFormat="1" applyFont="1" applyFill="1" applyBorder="1" applyAlignment="1">
      <alignment/>
    </xf>
    <xf numFmtId="174" fontId="8" fillId="0" borderId="106" xfId="49" applyNumberFormat="1" applyFont="1" applyFill="1" applyBorder="1" applyAlignment="1">
      <alignment/>
    </xf>
    <xf numFmtId="174" fontId="8" fillId="0" borderId="64" xfId="49" applyNumberFormat="1" applyFont="1" applyFill="1" applyBorder="1" applyAlignment="1">
      <alignment vertical="center"/>
    </xf>
    <xf numFmtId="174" fontId="14" fillId="0" borderId="64" xfId="49" applyNumberFormat="1" applyFont="1" applyFill="1" applyBorder="1" applyAlignment="1">
      <alignment vertical="center"/>
    </xf>
    <xf numFmtId="174" fontId="14" fillId="0" borderId="65" xfId="49" applyNumberFormat="1" applyFont="1" applyFill="1" applyBorder="1" applyAlignment="1">
      <alignment vertical="center"/>
    </xf>
    <xf numFmtId="174" fontId="14" fillId="0" borderId="106" xfId="49" applyNumberFormat="1" applyFont="1" applyFill="1" applyBorder="1" applyAlignment="1">
      <alignment/>
    </xf>
    <xf numFmtId="0" fontId="26" fillId="0" borderId="64" xfId="71" applyFont="1" applyBorder="1">
      <alignment/>
      <protection/>
    </xf>
    <xf numFmtId="174" fontId="14" fillId="0" borderId="65" xfId="49" applyNumberFormat="1" applyFont="1" applyFill="1" applyBorder="1" applyAlignment="1">
      <alignment/>
    </xf>
    <xf numFmtId="0" fontId="26" fillId="0" borderId="123" xfId="71" applyFont="1" applyBorder="1" applyAlignment="1">
      <alignment horizontal="right"/>
      <protection/>
    </xf>
    <xf numFmtId="0" fontId="14" fillId="0" borderId="86" xfId="71" applyFont="1" applyBorder="1" applyAlignment="1">
      <alignment vertical="center" wrapText="1"/>
      <protection/>
    </xf>
    <xf numFmtId="174" fontId="14" fillId="0" borderId="87" xfId="49" applyNumberFormat="1" applyFont="1" applyFill="1" applyBorder="1" applyAlignment="1">
      <alignment vertical="center"/>
    </xf>
    <xf numFmtId="174" fontId="14" fillId="0" borderId="111" xfId="49" applyNumberFormat="1" applyFont="1" applyFill="1" applyBorder="1" applyAlignment="1">
      <alignment/>
    </xf>
    <xf numFmtId="0" fontId="26" fillId="0" borderId="87" xfId="71" applyFont="1" applyBorder="1">
      <alignment/>
      <protection/>
    </xf>
    <xf numFmtId="174" fontId="12" fillId="42" borderId="67" xfId="71" applyNumberFormat="1" applyFont="1" applyFill="1" applyBorder="1" applyAlignment="1">
      <alignment vertical="center" wrapText="1"/>
      <protection/>
    </xf>
    <xf numFmtId="174" fontId="8" fillId="0" borderId="11" xfId="49" applyNumberFormat="1" applyFont="1" applyFill="1" applyBorder="1" applyAlignment="1">
      <alignment vertical="center"/>
    </xf>
    <xf numFmtId="174" fontId="8" fillId="0" borderId="124" xfId="49" applyNumberFormat="1" applyFont="1" applyFill="1" applyBorder="1" applyAlignment="1">
      <alignment/>
    </xf>
    <xf numFmtId="0" fontId="16" fillId="0" borderId="11" xfId="71" applyBorder="1">
      <alignment/>
      <protection/>
    </xf>
    <xf numFmtId="174" fontId="8" fillId="0" borderId="116" xfId="49" applyNumberFormat="1" applyFont="1" applyFill="1" applyBorder="1" applyAlignment="1">
      <alignment/>
    </xf>
    <xf numFmtId="174" fontId="9" fillId="0" borderId="57" xfId="49" applyNumberFormat="1" applyFont="1" applyBorder="1" applyAlignment="1">
      <alignment horizontal="left" vertical="center" wrapText="1"/>
    </xf>
    <xf numFmtId="174" fontId="8" fillId="0" borderId="0" xfId="49" applyNumberFormat="1" applyFont="1" applyBorder="1" applyAlignment="1">
      <alignment vertical="center"/>
    </xf>
    <xf numFmtId="174" fontId="16" fillId="0" borderId="0" xfId="49" applyNumberFormat="1" applyFont="1" applyFill="1" applyAlignment="1">
      <alignment/>
    </xf>
    <xf numFmtId="174" fontId="9" fillId="0" borderId="0" xfId="49" applyNumberFormat="1" applyFont="1" applyBorder="1" applyAlignment="1">
      <alignment/>
    </xf>
    <xf numFmtId="174" fontId="8" fillId="0" borderId="0" xfId="49" applyNumberFormat="1" applyFont="1" applyAlignment="1">
      <alignment/>
    </xf>
    <xf numFmtId="174" fontId="12" fillId="0" borderId="87" xfId="49" applyNumberFormat="1" applyFont="1" applyFill="1" applyBorder="1" applyAlignment="1">
      <alignment/>
    </xf>
    <xf numFmtId="0" fontId="38" fillId="0" borderId="64" xfId="60" applyFont="1" applyFill="1" applyBorder="1" applyAlignment="1">
      <alignment vertical="center" wrapText="1"/>
      <protection/>
    </xf>
    <xf numFmtId="0" fontId="38" fillId="0" borderId="87" xfId="60" applyFont="1" applyFill="1" applyBorder="1" applyAlignment="1">
      <alignment vertical="center" wrapText="1"/>
      <protection/>
    </xf>
    <xf numFmtId="9" fontId="40" fillId="0" borderId="65" xfId="79" applyFont="1" applyBorder="1" applyAlignment="1">
      <alignment vertical="center" wrapText="1"/>
    </xf>
    <xf numFmtId="174" fontId="40" fillId="0" borderId="64" xfId="46" applyNumberFormat="1" applyFont="1" applyFill="1" applyBorder="1" applyAlignment="1">
      <alignment horizontal="right" vertical="center" wrapText="1"/>
    </xf>
    <xf numFmtId="174" fontId="39" fillId="0" borderId="87" xfId="46" applyNumberFormat="1" applyFont="1" applyFill="1" applyBorder="1" applyAlignment="1">
      <alignment horizontal="right" vertical="center" wrapText="1"/>
    </xf>
    <xf numFmtId="9" fontId="39" fillId="0" borderId="96" xfId="79" applyFont="1" applyBorder="1" applyAlignment="1">
      <alignment vertical="center" wrapText="1"/>
    </xf>
    <xf numFmtId="174" fontId="38" fillId="0" borderId="64" xfId="46" applyNumberFormat="1" applyFont="1" applyBorder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174" fontId="40" fillId="0" borderId="64" xfId="46" applyNumberFormat="1" applyFont="1" applyBorder="1" applyAlignment="1">
      <alignment horizontal="right" vertical="center" wrapText="1"/>
    </xf>
    <xf numFmtId="174" fontId="38" fillId="0" borderId="92" xfId="46" applyNumberFormat="1" applyFont="1" applyBorder="1" applyAlignment="1">
      <alignment horizontal="right" vertical="center" wrapText="1"/>
    </xf>
    <xf numFmtId="174" fontId="38" fillId="0" borderId="92" xfId="46" applyNumberFormat="1" applyFont="1" applyFill="1" applyBorder="1" applyAlignment="1">
      <alignment horizontal="right" vertical="center" wrapText="1"/>
    </xf>
    <xf numFmtId="9" fontId="38" fillId="0" borderId="68" xfId="79" applyFont="1" applyBorder="1" applyAlignment="1">
      <alignment vertical="center" wrapText="1"/>
    </xf>
    <xf numFmtId="9" fontId="39" fillId="37" borderId="84" xfId="79" applyFont="1" applyFill="1" applyBorder="1" applyAlignment="1">
      <alignment vertical="center" wrapText="1"/>
    </xf>
    <xf numFmtId="174" fontId="39" fillId="0" borderId="64" xfId="46" applyNumberFormat="1" applyFont="1" applyBorder="1" applyAlignment="1">
      <alignment horizontal="right" vertical="center" wrapText="1"/>
    </xf>
    <xf numFmtId="174" fontId="43" fillId="0" borderId="64" xfId="46" applyNumberFormat="1" applyFont="1" applyBorder="1" applyAlignment="1">
      <alignment horizontal="right" vertical="center" wrapText="1"/>
    </xf>
    <xf numFmtId="174" fontId="38" fillId="0" borderId="87" xfId="46" applyNumberFormat="1" applyFont="1" applyBorder="1" applyAlignment="1">
      <alignment horizontal="right" vertical="center" wrapText="1"/>
    </xf>
    <xf numFmtId="174" fontId="39" fillId="37" borderId="83" xfId="46" applyNumberFormat="1" applyFont="1" applyFill="1" applyBorder="1" applyAlignment="1">
      <alignment horizontal="right" vertical="center" wrapText="1"/>
    </xf>
    <xf numFmtId="174" fontId="40" fillId="0" borderId="92" xfId="46" applyNumberFormat="1" applyFont="1" applyBorder="1" applyAlignment="1">
      <alignment horizontal="right" vertical="center" wrapText="1"/>
    </xf>
    <xf numFmtId="174" fontId="40" fillId="0" borderId="87" xfId="46" applyNumberFormat="1" applyFont="1" applyBorder="1" applyAlignment="1">
      <alignment horizontal="right" vertical="center" wrapText="1"/>
    </xf>
    <xf numFmtId="9" fontId="39" fillId="0" borderId="67" xfId="79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9" fillId="37" borderId="97" xfId="0" applyFont="1" applyFill="1" applyBorder="1" applyAlignment="1">
      <alignment vertical="center" wrapText="1"/>
    </xf>
    <xf numFmtId="0" fontId="39" fillId="37" borderId="88" xfId="70" applyFont="1" applyFill="1" applyBorder="1" applyAlignment="1">
      <alignment vertical="center" wrapText="1"/>
      <protection/>
    </xf>
    <xf numFmtId="174" fontId="39" fillId="37" borderId="88" xfId="46" applyNumberFormat="1" applyFont="1" applyFill="1" applyBorder="1" applyAlignment="1">
      <alignment horizontal="right" vertical="center" wrapText="1"/>
    </xf>
    <xf numFmtId="9" fontId="39" fillId="37" borderId="89" xfId="79" applyFont="1" applyFill="1" applyBorder="1" applyAlignment="1">
      <alignment vertical="center" wrapText="1"/>
    </xf>
    <xf numFmtId="0" fontId="38" fillId="0" borderId="63" xfId="0" applyFont="1" applyBorder="1" applyAlignment="1">
      <alignment vertical="center" wrapText="1"/>
    </xf>
    <xf numFmtId="0" fontId="38" fillId="0" borderId="64" xfId="60" applyFont="1" applyFill="1" applyBorder="1" applyAlignment="1">
      <alignment wrapText="1"/>
      <protection/>
    </xf>
    <xf numFmtId="174" fontId="38" fillId="0" borderId="64" xfId="46" applyNumberFormat="1" applyFont="1" applyFill="1" applyBorder="1" applyAlignment="1">
      <alignment horizontal="right" vertical="center" wrapText="1"/>
    </xf>
    <xf numFmtId="170" fontId="40" fillId="0" borderId="64" xfId="0" applyNumberFormat="1" applyFont="1" applyFill="1" applyBorder="1" applyAlignment="1">
      <alignment vertical="center" wrapText="1"/>
    </xf>
    <xf numFmtId="0" fontId="38" fillId="0" borderId="65" xfId="0" applyFont="1" applyBorder="1" applyAlignment="1">
      <alignment vertical="center" wrapText="1"/>
    </xf>
    <xf numFmtId="0" fontId="40" fillId="0" borderId="63" xfId="0" applyFont="1" applyBorder="1" applyAlignment="1">
      <alignment vertical="center" wrapText="1"/>
    </xf>
    <xf numFmtId="0" fontId="40" fillId="0" borderId="64" xfId="60" applyFont="1" applyFill="1" applyBorder="1" applyAlignment="1">
      <alignment wrapText="1"/>
      <protection/>
    </xf>
    <xf numFmtId="174" fontId="40" fillId="0" borderId="64" xfId="46" applyNumberFormat="1" applyFont="1" applyFill="1" applyBorder="1" applyAlignment="1">
      <alignment vertical="center" wrapText="1"/>
    </xf>
    <xf numFmtId="0" fontId="38" fillId="0" borderId="86" xfId="0" applyFont="1" applyBorder="1" applyAlignment="1">
      <alignment vertical="center" wrapText="1"/>
    </xf>
    <xf numFmtId="0" fontId="38" fillId="0" borderId="87" xfId="60" applyFont="1" applyFill="1" applyBorder="1" applyAlignment="1">
      <alignment wrapText="1"/>
      <protection/>
    </xf>
    <xf numFmtId="174" fontId="39" fillId="0" borderId="87" xfId="46" applyNumberFormat="1" applyFont="1" applyBorder="1" applyAlignment="1">
      <alignment horizontal="right" vertical="center" wrapText="1"/>
    </xf>
    <xf numFmtId="0" fontId="39" fillId="37" borderId="85" xfId="0" applyFont="1" applyFill="1" applyBorder="1" applyAlignment="1">
      <alignment vertical="center" wrapText="1"/>
    </xf>
    <xf numFmtId="0" fontId="39" fillId="37" borderId="83" xfId="70" applyFont="1" applyFill="1" applyBorder="1" applyAlignment="1">
      <alignment vertical="center" wrapText="1"/>
      <protection/>
    </xf>
    <xf numFmtId="174" fontId="38" fillId="0" borderId="87" xfId="46" applyNumberFormat="1" applyFont="1" applyFill="1" applyBorder="1" applyAlignment="1">
      <alignment horizontal="right" vertical="center" wrapText="1"/>
    </xf>
    <xf numFmtId="9" fontId="38" fillId="0" borderId="96" xfId="79" applyFont="1" applyBorder="1" applyAlignment="1">
      <alignment vertical="center" wrapText="1"/>
    </xf>
    <xf numFmtId="0" fontId="40" fillId="0" borderId="63" xfId="70" applyFont="1" applyBorder="1">
      <alignment/>
      <protection/>
    </xf>
    <xf numFmtId="0" fontId="40" fillId="0" borderId="64" xfId="60" applyFont="1" applyFill="1" applyBorder="1" applyAlignment="1">
      <alignment vertical="center" wrapText="1"/>
      <protection/>
    </xf>
    <xf numFmtId="1" fontId="38" fillId="0" borderId="64" xfId="46" applyNumberFormat="1" applyFont="1" applyBorder="1" applyAlignment="1">
      <alignment horizontal="right" vertical="center" wrapText="1"/>
    </xf>
    <xf numFmtId="0" fontId="38" fillId="0" borderId="63" xfId="70" applyFont="1" applyBorder="1">
      <alignment/>
      <protection/>
    </xf>
    <xf numFmtId="3" fontId="38" fillId="0" borderId="64" xfId="0" applyNumberFormat="1" applyFont="1" applyBorder="1" applyAlignment="1">
      <alignment vertical="center" wrapText="1"/>
    </xf>
    <xf numFmtId="3" fontId="38" fillId="0" borderId="64" xfId="0" applyNumberFormat="1" applyFont="1" applyFill="1" applyBorder="1" applyAlignment="1">
      <alignment vertical="center" wrapText="1"/>
    </xf>
    <xf numFmtId="0" fontId="40" fillId="0" borderId="66" xfId="70" applyFont="1" applyBorder="1">
      <alignment/>
      <protection/>
    </xf>
    <xf numFmtId="0" fontId="38" fillId="0" borderId="92" xfId="60" applyFont="1" applyFill="1" applyBorder="1" applyAlignment="1">
      <alignment wrapText="1"/>
      <protection/>
    </xf>
    <xf numFmtId="0" fontId="40" fillId="0" borderId="63" xfId="70" applyFont="1" applyFill="1" applyBorder="1">
      <alignment/>
      <protection/>
    </xf>
    <xf numFmtId="170" fontId="38" fillId="0" borderId="64" xfId="0" applyNumberFormat="1" applyFont="1" applyBorder="1" applyAlignment="1">
      <alignment vertical="center" wrapText="1"/>
    </xf>
    <xf numFmtId="9" fontId="39" fillId="0" borderId="65" xfId="79" applyFont="1" applyBorder="1" applyAlignment="1">
      <alignment vertical="center" wrapText="1"/>
    </xf>
    <xf numFmtId="1" fontId="40" fillId="0" borderId="64" xfId="46" applyNumberFormat="1" applyFont="1" applyBorder="1" applyAlignment="1">
      <alignment horizontal="right" vertical="center" wrapText="1"/>
    </xf>
    <xf numFmtId="1" fontId="40" fillId="0" borderId="64" xfId="0" applyNumberFormat="1" applyFont="1" applyBorder="1" applyAlignment="1">
      <alignment vertical="center" wrapText="1"/>
    </xf>
    <xf numFmtId="0" fontId="40" fillId="0" borderId="86" xfId="70" applyFont="1" applyFill="1" applyBorder="1">
      <alignment/>
      <protection/>
    </xf>
    <xf numFmtId="0" fontId="38" fillId="0" borderId="96" xfId="0" applyFont="1" applyBorder="1" applyAlignment="1">
      <alignment vertical="center" wrapText="1"/>
    </xf>
    <xf numFmtId="0" fontId="40" fillId="0" borderId="65" xfId="0" applyFont="1" applyBorder="1" applyAlignment="1">
      <alignment vertical="center" wrapText="1"/>
    </xf>
    <xf numFmtId="0" fontId="40" fillId="0" borderId="66" xfId="70" applyFont="1" applyFill="1" applyBorder="1">
      <alignment/>
      <protection/>
    </xf>
    <xf numFmtId="0" fontId="40" fillId="0" borderId="68" xfId="0" applyFont="1" applyBorder="1" applyAlignment="1">
      <alignment vertical="center" wrapText="1"/>
    </xf>
    <xf numFmtId="0" fontId="40" fillId="0" borderId="96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174" fontId="38" fillId="0" borderId="0" xfId="46" applyNumberFormat="1" applyFont="1" applyAlignment="1">
      <alignment horizontal="right" vertical="center" wrapText="1"/>
    </xf>
    <xf numFmtId="0" fontId="38" fillId="0" borderId="98" xfId="0" applyFont="1" applyBorder="1" applyAlignment="1">
      <alignment vertical="center" wrapText="1"/>
    </xf>
    <xf numFmtId="0" fontId="39" fillId="0" borderId="57" xfId="0" applyFont="1" applyBorder="1" applyAlignment="1">
      <alignment vertical="center" wrapText="1"/>
    </xf>
    <xf numFmtId="0" fontId="38" fillId="0" borderId="67" xfId="0" applyFont="1" applyBorder="1" applyAlignment="1">
      <alignment vertical="center" wrapText="1"/>
    </xf>
    <xf numFmtId="0" fontId="38" fillId="0" borderId="99" xfId="0" applyFont="1" applyBorder="1" applyAlignment="1">
      <alignment vertical="center" wrapText="1"/>
    </xf>
    <xf numFmtId="0" fontId="38" fillId="0" borderId="83" xfId="0" applyFont="1" applyBorder="1" applyAlignment="1">
      <alignment vertical="center" wrapText="1"/>
    </xf>
    <xf numFmtId="174" fontId="38" fillId="0" borderId="83" xfId="46" applyNumberFormat="1" applyFont="1" applyBorder="1" applyAlignment="1">
      <alignment horizontal="right" vertical="center" wrapText="1"/>
    </xf>
    <xf numFmtId="9" fontId="38" fillId="0" borderId="84" xfId="79" applyFont="1" applyBorder="1" applyAlignment="1">
      <alignment vertical="center" wrapText="1"/>
    </xf>
    <xf numFmtId="0" fontId="38" fillId="0" borderId="100" xfId="0" applyFont="1" applyBorder="1" applyAlignment="1">
      <alignment vertical="center" wrapText="1"/>
    </xf>
    <xf numFmtId="0" fontId="38" fillId="0" borderId="87" xfId="0" applyFont="1" applyBorder="1" applyAlignment="1">
      <alignment vertical="center" wrapText="1"/>
    </xf>
    <xf numFmtId="174" fontId="39" fillId="0" borderId="57" xfId="46" applyNumberFormat="1" applyFont="1" applyBorder="1" applyAlignment="1">
      <alignment horizontal="right" vertical="center" wrapText="1"/>
    </xf>
    <xf numFmtId="174" fontId="38" fillId="0" borderId="0" xfId="46" applyNumberFormat="1" applyFont="1" applyBorder="1" applyAlignment="1">
      <alignment horizontal="right" vertical="center" wrapText="1"/>
    </xf>
    <xf numFmtId="0" fontId="40" fillId="0" borderId="87" xfId="60" applyFont="1" applyFill="1" applyBorder="1" applyAlignment="1">
      <alignment wrapText="1"/>
      <protection/>
    </xf>
    <xf numFmtId="0" fontId="39" fillId="37" borderId="35" xfId="0" applyFont="1" applyFill="1" applyBorder="1" applyAlignment="1">
      <alignment vertical="center" wrapText="1"/>
    </xf>
    <xf numFmtId="0" fontId="39" fillId="37" borderId="11" xfId="70" applyFont="1" applyFill="1" applyBorder="1" applyAlignment="1">
      <alignment vertical="center" wrapText="1"/>
      <protection/>
    </xf>
    <xf numFmtId="174" fontId="39" fillId="37" borderId="11" xfId="46" applyNumberFormat="1" applyFont="1" applyFill="1" applyBorder="1" applyAlignment="1">
      <alignment horizontal="right" vertical="center" wrapText="1"/>
    </xf>
    <xf numFmtId="9" fontId="39" fillId="37" borderId="116" xfId="79" applyFont="1" applyFill="1" applyBorder="1" applyAlignment="1">
      <alignment vertical="center" wrapText="1"/>
    </xf>
    <xf numFmtId="170" fontId="38" fillId="0" borderId="64" xfId="0" applyNumberFormat="1" applyFont="1" applyFill="1" applyBorder="1" applyAlignment="1">
      <alignment vertical="center" wrapText="1"/>
    </xf>
    <xf numFmtId="174" fontId="39" fillId="0" borderId="64" xfId="46" applyNumberFormat="1" applyFont="1" applyFill="1" applyBorder="1" applyAlignment="1">
      <alignment horizontal="right" vertical="center" wrapText="1"/>
    </xf>
    <xf numFmtId="174" fontId="43" fillId="0" borderId="64" xfId="46" applyNumberFormat="1" applyFont="1" applyFill="1" applyBorder="1" applyAlignment="1">
      <alignment horizontal="right" vertical="center" wrapText="1"/>
    </xf>
    <xf numFmtId="1" fontId="40" fillId="0" borderId="64" xfId="0" applyNumberFormat="1" applyFont="1" applyFill="1" applyBorder="1" applyAlignment="1">
      <alignment vertical="center" wrapText="1"/>
    </xf>
    <xf numFmtId="0" fontId="38" fillId="0" borderId="64" xfId="0" applyFont="1" applyFill="1" applyBorder="1" applyAlignment="1">
      <alignment vertical="center" wrapText="1"/>
    </xf>
    <xf numFmtId="0" fontId="38" fillId="0" borderId="106" xfId="61" applyFont="1" applyFill="1" applyBorder="1" applyAlignment="1">
      <alignment vertical="center" wrapText="1"/>
      <protection/>
    </xf>
    <xf numFmtId="0" fontId="38" fillId="0" borderId="64" xfId="61" applyFont="1" applyFill="1" applyBorder="1" applyAlignment="1">
      <alignment vertical="center" wrapText="1"/>
      <protection/>
    </xf>
    <xf numFmtId="0" fontId="38" fillId="0" borderId="87" xfId="0" applyFont="1" applyFill="1" applyBorder="1" applyAlignment="1">
      <alignment vertical="center" wrapText="1"/>
    </xf>
    <xf numFmtId="3" fontId="38" fillId="0" borderId="0" xfId="0" applyNumberFormat="1" applyFont="1" applyAlignment="1">
      <alignment vertical="center" wrapText="1"/>
    </xf>
    <xf numFmtId="3" fontId="43" fillId="8" borderId="88" xfId="0" applyNumberFormat="1" applyFont="1" applyFill="1" applyBorder="1" applyAlignment="1">
      <alignment vertical="center"/>
    </xf>
    <xf numFmtId="9" fontId="38" fillId="0" borderId="89" xfId="79" applyFont="1" applyBorder="1" applyAlignment="1">
      <alignment vertical="center"/>
    </xf>
    <xf numFmtId="9" fontId="40" fillId="0" borderId="68" xfId="79" applyFont="1" applyBorder="1" applyAlignment="1">
      <alignment vertical="center"/>
    </xf>
    <xf numFmtId="9" fontId="43" fillId="8" borderId="65" xfId="79" applyFont="1" applyFill="1" applyBorder="1" applyAlignment="1">
      <alignment vertical="center"/>
    </xf>
    <xf numFmtId="9" fontId="39" fillId="37" borderId="67" xfId="79" applyFont="1" applyFill="1" applyBorder="1" applyAlignment="1">
      <alignment vertical="center" wrapText="1"/>
    </xf>
    <xf numFmtId="0" fontId="56" fillId="0" borderId="88" xfId="70" applyFont="1" applyFill="1" applyBorder="1" applyAlignment="1">
      <alignment horizontal="right" vertical="center"/>
      <protection/>
    </xf>
    <xf numFmtId="0" fontId="59" fillId="8" borderId="88" xfId="70" applyFont="1" applyFill="1" applyBorder="1" applyAlignment="1">
      <alignment horizontal="right" vertical="center"/>
      <protection/>
    </xf>
    <xf numFmtId="3" fontId="43" fillId="8" borderId="0" xfId="0" applyNumberFormat="1" applyFont="1" applyFill="1" applyAlignment="1">
      <alignment vertical="center"/>
    </xf>
    <xf numFmtId="0" fontId="56" fillId="0" borderId="64" xfId="70" applyFont="1" applyFill="1" applyBorder="1" applyAlignment="1">
      <alignment horizontal="right" vertical="center"/>
      <protection/>
    </xf>
    <xf numFmtId="0" fontId="59" fillId="8" borderId="64" xfId="70" applyFont="1" applyFill="1" applyBorder="1" applyAlignment="1">
      <alignment horizontal="right" vertical="center"/>
      <protection/>
    </xf>
    <xf numFmtId="3" fontId="43" fillId="0" borderId="0" xfId="0" applyNumberFormat="1" applyFont="1" applyFill="1" applyAlignment="1">
      <alignment vertical="center"/>
    </xf>
    <xf numFmtId="174" fontId="38" fillId="0" borderId="64" xfId="46" applyNumberFormat="1" applyFont="1" applyBorder="1" applyAlignment="1">
      <alignment horizontal="right" vertical="center"/>
    </xf>
    <xf numFmtId="3" fontId="39" fillId="37" borderId="57" xfId="0" applyNumberFormat="1" applyFont="1" applyFill="1" applyBorder="1" applyAlignment="1">
      <alignment vertical="center"/>
    </xf>
    <xf numFmtId="9" fontId="39" fillId="37" borderId="67" xfId="79" applyFont="1" applyFill="1" applyBorder="1" applyAlignment="1">
      <alignment vertical="center"/>
    </xf>
    <xf numFmtId="0" fontId="56" fillId="0" borderId="92" xfId="70" applyFont="1" applyFill="1" applyBorder="1" applyAlignment="1">
      <alignment horizontal="right" vertical="center"/>
      <protection/>
    </xf>
    <xf numFmtId="9" fontId="38" fillId="0" borderId="68" xfId="79" applyFont="1" applyFill="1" applyBorder="1" applyAlignment="1">
      <alignment vertical="center"/>
    </xf>
    <xf numFmtId="3" fontId="38" fillId="0" borderId="89" xfId="0" applyNumberFormat="1" applyFont="1" applyBorder="1" applyAlignment="1">
      <alignment vertical="center"/>
    </xf>
    <xf numFmtId="0" fontId="56" fillId="0" borderId="125" xfId="70" applyFont="1" applyFill="1" applyBorder="1" applyAlignment="1">
      <alignment horizontal="right" vertical="center"/>
      <protection/>
    </xf>
    <xf numFmtId="9" fontId="38" fillId="0" borderId="96" xfId="79" applyFont="1" applyBorder="1" applyAlignment="1">
      <alignment vertical="center"/>
    </xf>
    <xf numFmtId="9" fontId="38" fillId="0" borderId="116" xfId="79" applyFont="1" applyBorder="1" applyAlignment="1">
      <alignment vertical="center"/>
    </xf>
    <xf numFmtId="0" fontId="100" fillId="0" borderId="64" xfId="0" applyFont="1" applyFill="1" applyBorder="1" applyAlignment="1">
      <alignment vertical="center" wrapText="1"/>
    </xf>
    <xf numFmtId="0" fontId="100" fillId="0" borderId="106" xfId="61" applyFont="1" applyFill="1" applyBorder="1" applyAlignment="1">
      <alignment vertical="center" wrapText="1"/>
      <protection/>
    </xf>
    <xf numFmtId="174" fontId="15" fillId="0" borderId="57" xfId="46" applyNumberFormat="1" applyFont="1" applyBorder="1" applyAlignment="1">
      <alignment horizontal="center" vertical="center"/>
    </xf>
    <xf numFmtId="174" fontId="15" fillId="0" borderId="112" xfId="46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47" fillId="0" borderId="0" xfId="0" applyFont="1" applyAlignment="1">
      <alignment/>
    </xf>
    <xf numFmtId="0" fontId="39" fillId="0" borderId="37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174" fontId="45" fillId="0" borderId="37" xfId="46" applyNumberFormat="1" applyFont="1" applyBorder="1" applyAlignment="1">
      <alignment/>
    </xf>
    <xf numFmtId="174" fontId="45" fillId="0" borderId="40" xfId="46" applyNumberFormat="1" applyFont="1" applyBorder="1" applyAlignment="1">
      <alignment horizontal="right" vertical="center" wrapText="1"/>
    </xf>
    <xf numFmtId="174" fontId="45" fillId="0" borderId="41" xfId="46" applyNumberFormat="1" applyFont="1" applyFill="1" applyBorder="1" applyAlignment="1">
      <alignment vertical="center" wrapText="1"/>
    </xf>
    <xf numFmtId="0" fontId="64" fillId="0" borderId="37" xfId="0" applyFont="1" applyBorder="1" applyAlignment="1">
      <alignment/>
    </xf>
    <xf numFmtId="0" fontId="39" fillId="0" borderId="115" xfId="0" applyFont="1" applyBorder="1" applyAlignment="1">
      <alignment horizontal="left"/>
    </xf>
    <xf numFmtId="174" fontId="45" fillId="0" borderId="115" xfId="46" applyNumberFormat="1" applyFont="1" applyBorder="1" applyAlignment="1">
      <alignment horizontal="right"/>
    </xf>
    <xf numFmtId="174" fontId="45" fillId="0" borderId="115" xfId="46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5" fillId="0" borderId="85" xfId="0" applyFont="1" applyFill="1" applyBorder="1" applyAlignment="1">
      <alignment vertical="center"/>
    </xf>
    <xf numFmtId="0" fontId="39" fillId="0" borderId="83" xfId="0" applyFont="1" applyFill="1" applyBorder="1" applyAlignment="1">
      <alignment vertical="center"/>
    </xf>
    <xf numFmtId="3" fontId="39" fillId="0" borderId="83" xfId="0" applyNumberFormat="1" applyFont="1" applyFill="1" applyBorder="1" applyAlignment="1">
      <alignment vertical="center"/>
    </xf>
    <xf numFmtId="9" fontId="39" fillId="0" borderId="84" xfId="0" applyNumberFormat="1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5" fillId="0" borderId="63" xfId="0" applyFont="1" applyFill="1" applyBorder="1" applyAlignment="1">
      <alignment vertical="center"/>
    </xf>
    <xf numFmtId="0" fontId="38" fillId="0" borderId="64" xfId="0" applyFont="1" applyFill="1" applyBorder="1" applyAlignment="1">
      <alignment wrapText="1"/>
    </xf>
    <xf numFmtId="3" fontId="38" fillId="0" borderId="64" xfId="0" applyNumberFormat="1" applyFont="1" applyFill="1" applyBorder="1" applyAlignment="1">
      <alignment vertical="center"/>
    </xf>
    <xf numFmtId="9" fontId="38" fillId="0" borderId="65" xfId="0" applyNumberFormat="1" applyFont="1" applyFill="1" applyBorder="1" applyAlignment="1">
      <alignment vertical="center"/>
    </xf>
    <xf numFmtId="0" fontId="39" fillId="0" borderId="64" xfId="0" applyFont="1" applyFill="1" applyBorder="1" applyAlignment="1">
      <alignment vertical="center"/>
    </xf>
    <xf numFmtId="3" fontId="39" fillId="0" borderId="64" xfId="0" applyNumberFormat="1" applyFont="1" applyFill="1" applyBorder="1" applyAlignment="1">
      <alignment vertical="center"/>
    </xf>
    <xf numFmtId="9" fontId="39" fillId="0" borderId="65" xfId="0" applyNumberFormat="1" applyFont="1" applyFill="1" applyBorder="1" applyAlignment="1">
      <alignment vertical="center"/>
    </xf>
    <xf numFmtId="0" fontId="45" fillId="0" borderId="86" xfId="0" applyFont="1" applyFill="1" applyBorder="1" applyAlignment="1">
      <alignment vertical="center"/>
    </xf>
    <xf numFmtId="0" fontId="39" fillId="0" borderId="87" xfId="0" applyFont="1" applyFill="1" applyBorder="1" applyAlignment="1">
      <alignment vertical="center"/>
    </xf>
    <xf numFmtId="3" fontId="39" fillId="0" borderId="87" xfId="0" applyNumberFormat="1" applyFont="1" applyFill="1" applyBorder="1" applyAlignment="1">
      <alignment vertical="center"/>
    </xf>
    <xf numFmtId="9" fontId="39" fillId="0" borderId="96" xfId="79" applyFont="1" applyFill="1" applyBorder="1" applyAlignment="1">
      <alignment vertical="center"/>
    </xf>
    <xf numFmtId="3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63" xfId="0" applyFont="1" applyBorder="1" applyAlignment="1">
      <alignment vertical="center"/>
    </xf>
    <xf numFmtId="0" fontId="39" fillId="0" borderId="64" xfId="0" applyFont="1" applyBorder="1" applyAlignment="1">
      <alignment vertical="center"/>
    </xf>
    <xf numFmtId="3" fontId="39" fillId="0" borderId="64" xfId="0" applyNumberFormat="1" applyFont="1" applyBorder="1" applyAlignment="1">
      <alignment vertical="center"/>
    </xf>
    <xf numFmtId="9" fontId="39" fillId="0" borderId="65" xfId="79" applyFont="1" applyBorder="1" applyAlignment="1">
      <alignment vertical="center"/>
    </xf>
    <xf numFmtId="3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4" fontId="45" fillId="36" borderId="57" xfId="46" applyNumberFormat="1" applyFont="1" applyFill="1" applyBorder="1" applyAlignment="1">
      <alignment horizontal="right" vertical="center" wrapText="1"/>
    </xf>
    <xf numFmtId="195" fontId="45" fillId="36" borderId="57" xfId="46" applyNumberFormat="1" applyFont="1" applyFill="1" applyBorder="1" applyAlignment="1">
      <alignment horizontal="right" vertical="center" wrapText="1"/>
    </xf>
    <xf numFmtId="0" fontId="39" fillId="0" borderId="64" xfId="0" applyFont="1" applyFill="1" applyBorder="1" applyAlignment="1">
      <alignment vertical="center" wrapText="1"/>
    </xf>
    <xf numFmtId="9" fontId="39" fillId="0" borderId="96" xfId="0" applyNumberFormat="1" applyFont="1" applyFill="1" applyBorder="1" applyAlignment="1">
      <alignment vertical="center"/>
    </xf>
    <xf numFmtId="0" fontId="45" fillId="0" borderId="60" xfId="0" applyFont="1" applyFill="1" applyBorder="1" applyAlignment="1">
      <alignment vertical="center"/>
    </xf>
    <xf numFmtId="0" fontId="39" fillId="0" borderId="57" xfId="0" applyFont="1" applyFill="1" applyBorder="1" applyAlignment="1">
      <alignment vertical="center"/>
    </xf>
    <xf numFmtId="3" fontId="39" fillId="0" borderId="57" xfId="0" applyNumberFormat="1" applyFont="1" applyFill="1" applyBorder="1" applyAlignment="1">
      <alignment vertical="center"/>
    </xf>
    <xf numFmtId="9" fontId="39" fillId="0" borderId="67" xfId="0" applyNumberFormat="1" applyFont="1" applyFill="1" applyBorder="1" applyAlignment="1">
      <alignment vertical="center"/>
    </xf>
    <xf numFmtId="0" fontId="44" fillId="0" borderId="86" xfId="0" applyFont="1" applyBorder="1" applyAlignment="1">
      <alignment/>
    </xf>
    <xf numFmtId="0" fontId="44" fillId="0" borderId="87" xfId="0" applyFont="1" applyBorder="1" applyAlignment="1">
      <alignment/>
    </xf>
    <xf numFmtId="9" fontId="44" fillId="0" borderId="96" xfId="79" applyFont="1" applyBorder="1" applyAlignment="1">
      <alignment/>
    </xf>
    <xf numFmtId="3" fontId="39" fillId="0" borderId="57" xfId="0" applyNumberFormat="1" applyFont="1" applyBorder="1" applyAlignment="1">
      <alignment/>
    </xf>
    <xf numFmtId="3" fontId="38" fillId="0" borderId="102" xfId="0" applyNumberFormat="1" applyFont="1" applyBorder="1" applyAlignment="1">
      <alignment horizontal="center" vertical="center" wrapText="1"/>
    </xf>
    <xf numFmtId="3" fontId="38" fillId="0" borderId="82" xfId="0" applyNumberFormat="1" applyFont="1" applyBorder="1" applyAlignment="1">
      <alignment horizontal="center" vertical="center" wrapText="1"/>
    </xf>
    <xf numFmtId="3" fontId="38" fillId="0" borderId="63" xfId="0" applyNumberFormat="1" applyFont="1" applyBorder="1" applyAlignment="1">
      <alignment horizontal="right"/>
    </xf>
    <xf numFmtId="0" fontId="59" fillId="8" borderId="63" xfId="70" applyFont="1" applyFill="1" applyBorder="1" applyAlignment="1">
      <alignment horizontal="right" vertical="center"/>
      <protection/>
    </xf>
    <xf numFmtId="3" fontId="38" fillId="0" borderId="35" xfId="0" applyNumberFormat="1" applyFont="1" applyBorder="1" applyAlignment="1">
      <alignment horizontal="right"/>
    </xf>
    <xf numFmtId="0" fontId="56" fillId="0" borderId="63" xfId="70" applyFont="1" applyFill="1" applyBorder="1" applyAlignment="1">
      <alignment horizontal="right" vertical="center"/>
      <protection/>
    </xf>
    <xf numFmtId="3" fontId="39" fillId="33" borderId="126" xfId="0" applyNumberFormat="1" applyFont="1" applyFill="1" applyBorder="1" applyAlignment="1">
      <alignment vertical="center" wrapText="1"/>
    </xf>
    <xf numFmtId="9" fontId="39" fillId="37" borderId="65" xfId="79" applyFont="1" applyFill="1" applyBorder="1" applyAlignment="1">
      <alignment wrapText="1"/>
    </xf>
    <xf numFmtId="174" fontId="39" fillId="37" borderId="64" xfId="46" applyNumberFormat="1" applyFont="1" applyFill="1" applyBorder="1" applyAlignment="1">
      <alignment horizontal="right"/>
    </xf>
    <xf numFmtId="0" fontId="40" fillId="0" borderId="64" xfId="60" applyFont="1" applyFill="1" applyBorder="1">
      <alignment/>
      <protection/>
    </xf>
    <xf numFmtId="3" fontId="40" fillId="0" borderId="64" xfId="0" applyNumberFormat="1" applyFont="1" applyBorder="1" applyAlignment="1">
      <alignment/>
    </xf>
    <xf numFmtId="174" fontId="40" fillId="0" borderId="64" xfId="46" applyNumberFormat="1" applyFont="1" applyBorder="1" applyAlignment="1">
      <alignment horizontal="right" vertical="center" wrapText="1"/>
    </xf>
    <xf numFmtId="9" fontId="40" fillId="0" borderId="65" xfId="79" applyFont="1" applyBorder="1" applyAlignment="1">
      <alignment/>
    </xf>
    <xf numFmtId="3" fontId="40" fillId="0" borderId="0" xfId="0" applyNumberFormat="1" applyFont="1" applyAlignment="1">
      <alignment/>
    </xf>
    <xf numFmtId="3" fontId="39" fillId="37" borderId="65" xfId="0" applyNumberFormat="1" applyFont="1" applyFill="1" applyBorder="1" applyAlignment="1">
      <alignment/>
    </xf>
    <xf numFmtId="0" fontId="44" fillId="0" borderId="34" xfId="0" applyFont="1" applyBorder="1" applyAlignment="1">
      <alignment/>
    </xf>
    <xf numFmtId="0" fontId="44" fillId="0" borderId="39" xfId="0" applyFont="1" applyBorder="1" applyAlignment="1">
      <alignment/>
    </xf>
    <xf numFmtId="0" fontId="45" fillId="0" borderId="12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/>
    </xf>
    <xf numFmtId="9" fontId="39" fillId="0" borderId="31" xfId="0" applyNumberFormat="1" applyFont="1" applyFill="1" applyBorder="1" applyAlignment="1">
      <alignment vertical="center"/>
    </xf>
    <xf numFmtId="0" fontId="45" fillId="0" borderId="38" xfId="0" applyFont="1" applyFill="1" applyBorder="1" applyAlignment="1">
      <alignment vertical="center"/>
    </xf>
    <xf numFmtId="0" fontId="38" fillId="0" borderId="24" xfId="0" applyFont="1" applyFill="1" applyBorder="1" applyAlignment="1">
      <alignment vertical="center"/>
    </xf>
    <xf numFmtId="3" fontId="38" fillId="0" borderId="24" xfId="0" applyNumberFormat="1" applyFont="1" applyFill="1" applyBorder="1" applyAlignment="1">
      <alignment vertical="center"/>
    </xf>
    <xf numFmtId="9" fontId="38" fillId="0" borderId="127" xfId="0" applyNumberFormat="1" applyFont="1" applyFill="1" applyBorder="1" applyAlignment="1">
      <alignment vertical="center"/>
    </xf>
    <xf numFmtId="0" fontId="45" fillId="0" borderId="118" xfId="0" applyFont="1" applyFill="1" applyBorder="1" applyAlignment="1">
      <alignment vertical="center"/>
    </xf>
    <xf numFmtId="0" fontId="39" fillId="0" borderId="109" xfId="0" applyFont="1" applyFill="1" applyBorder="1" applyAlignment="1">
      <alignment vertical="center" wrapText="1"/>
    </xf>
    <xf numFmtId="3" fontId="39" fillId="0" borderId="109" xfId="0" applyNumberFormat="1" applyFont="1" applyFill="1" applyBorder="1" applyAlignment="1">
      <alignment vertical="center"/>
    </xf>
    <xf numFmtId="9" fontId="39" fillId="0" borderId="110" xfId="0" applyNumberFormat="1" applyFont="1" applyFill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3" fontId="45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3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3" fontId="44" fillId="0" borderId="34" xfId="0" applyNumberFormat="1" applyFont="1" applyBorder="1" applyAlignment="1">
      <alignment/>
    </xf>
    <xf numFmtId="3" fontId="48" fillId="0" borderId="34" xfId="0" applyNumberFormat="1" applyFont="1" applyFill="1" applyBorder="1" applyAlignment="1">
      <alignment vertical="center"/>
    </xf>
    <xf numFmtId="3" fontId="45" fillId="0" borderId="34" xfId="0" applyNumberFormat="1" applyFont="1" applyBorder="1" applyAlignment="1">
      <alignment vertical="center"/>
    </xf>
    <xf numFmtId="3" fontId="49" fillId="0" borderId="34" xfId="0" applyNumberFormat="1" applyFont="1" applyBorder="1" applyAlignment="1">
      <alignment/>
    </xf>
    <xf numFmtId="3" fontId="48" fillId="0" borderId="34" xfId="0" applyNumberFormat="1" applyFont="1" applyBorder="1" applyAlignment="1">
      <alignment/>
    </xf>
    <xf numFmtId="0" fontId="43" fillId="0" borderId="34" xfId="0" applyFont="1" applyBorder="1" applyAlignment="1">
      <alignment vertical="center" wrapText="1"/>
    </xf>
    <xf numFmtId="0" fontId="45" fillId="0" borderId="128" xfId="0" applyFont="1" applyFill="1" applyBorder="1" applyAlignment="1">
      <alignment vertical="center"/>
    </xf>
    <xf numFmtId="0" fontId="39" fillId="0" borderId="129" xfId="0" applyFont="1" applyFill="1" applyBorder="1" applyAlignment="1">
      <alignment vertical="center"/>
    </xf>
    <xf numFmtId="3" fontId="39" fillId="0" borderId="129" xfId="0" applyNumberFormat="1" applyFont="1" applyFill="1" applyBorder="1" applyAlignment="1">
      <alignment vertical="center"/>
    </xf>
    <xf numFmtId="9" fontId="39" fillId="0" borderId="130" xfId="79" applyFont="1" applyFill="1" applyBorder="1" applyAlignment="1">
      <alignment vertical="center"/>
    </xf>
    <xf numFmtId="0" fontId="45" fillId="35" borderId="12" xfId="0" applyFont="1" applyFill="1" applyBorder="1" applyAlignment="1">
      <alignment vertical="center"/>
    </xf>
    <xf numFmtId="0" fontId="45" fillId="35" borderId="10" xfId="0" applyFont="1" applyFill="1" applyBorder="1" applyAlignment="1">
      <alignment vertical="center"/>
    </xf>
    <xf numFmtId="3" fontId="45" fillId="35" borderId="10" xfId="0" applyNumberFormat="1" applyFont="1" applyFill="1" applyBorder="1" applyAlignment="1">
      <alignment vertical="center"/>
    </xf>
    <xf numFmtId="3" fontId="39" fillId="35" borderId="10" xfId="0" applyNumberFormat="1" applyFont="1" applyFill="1" applyBorder="1" applyAlignment="1">
      <alignment vertical="center"/>
    </xf>
    <xf numFmtId="9" fontId="45" fillId="35" borderId="31" xfId="79" applyFont="1" applyFill="1" applyBorder="1" applyAlignment="1">
      <alignment vertical="center"/>
    </xf>
    <xf numFmtId="0" fontId="44" fillId="0" borderId="40" xfId="0" applyFont="1" applyBorder="1" applyAlignment="1">
      <alignment/>
    </xf>
    <xf numFmtId="0" fontId="40" fillId="0" borderId="40" xfId="0" applyFont="1" applyBorder="1" applyAlignment="1">
      <alignment vertical="center" wrapText="1"/>
    </xf>
    <xf numFmtId="0" fontId="40" fillId="0" borderId="40" xfId="0" applyFont="1" applyBorder="1" applyAlignment="1">
      <alignment wrapText="1"/>
    </xf>
    <xf numFmtId="0" fontId="41" fillId="37" borderId="117" xfId="70" applyFont="1" applyFill="1" applyBorder="1">
      <alignment/>
      <protection/>
    </xf>
    <xf numFmtId="0" fontId="39" fillId="37" borderId="97" xfId="60" applyFont="1" applyFill="1" applyBorder="1" applyAlignment="1">
      <alignment wrapText="1"/>
      <protection/>
    </xf>
    <xf numFmtId="0" fontId="41" fillId="37" borderId="80" xfId="70" applyFont="1" applyFill="1" applyBorder="1">
      <alignment/>
      <protection/>
    </xf>
    <xf numFmtId="0" fontId="39" fillId="37" borderId="63" xfId="60" applyFont="1" applyFill="1" applyBorder="1" applyAlignment="1">
      <alignment wrapText="1"/>
      <protection/>
    </xf>
    <xf numFmtId="0" fontId="42" fillId="0" borderId="80" xfId="70" applyFont="1" applyFill="1" applyBorder="1">
      <alignment/>
      <protection/>
    </xf>
    <xf numFmtId="0" fontId="40" fillId="0" borderId="63" xfId="60" applyFont="1" applyFill="1" applyBorder="1">
      <alignment/>
      <protection/>
    </xf>
    <xf numFmtId="0" fontId="38" fillId="0" borderId="80" xfId="60" applyFont="1" applyFill="1" applyBorder="1">
      <alignment/>
      <protection/>
    </xf>
    <xf numFmtId="0" fontId="41" fillId="37" borderId="131" xfId="70" applyFont="1" applyFill="1" applyBorder="1">
      <alignment/>
      <protection/>
    </xf>
    <xf numFmtId="0" fontId="39" fillId="37" borderId="66" xfId="60" applyFont="1" applyFill="1" applyBorder="1" applyAlignment="1">
      <alignment wrapText="1"/>
      <protection/>
    </xf>
    <xf numFmtId="3" fontId="39" fillId="33" borderId="37" xfId="0" applyNumberFormat="1" applyFont="1" applyFill="1" applyBorder="1" applyAlignment="1">
      <alignment vertical="center" wrapText="1"/>
    </xf>
    <xf numFmtId="3" fontId="39" fillId="0" borderId="64" xfId="0" applyNumberFormat="1" applyFont="1" applyFill="1" applyBorder="1" applyAlignment="1">
      <alignment vertical="center"/>
    </xf>
    <xf numFmtId="0" fontId="40" fillId="0" borderId="34" xfId="0" applyFont="1" applyBorder="1" applyAlignment="1">
      <alignment vertical="center" wrapText="1"/>
    </xf>
    <xf numFmtId="0" fontId="39" fillId="0" borderId="15" xfId="58" applyFont="1" applyBorder="1" applyAlignment="1">
      <alignment horizontal="center" vertical="center" wrapText="1"/>
      <protection/>
    </xf>
    <xf numFmtId="0" fontId="39" fillId="0" borderId="26" xfId="58" applyFont="1" applyBorder="1" applyAlignment="1">
      <alignment horizontal="center" vertical="center" wrapText="1"/>
      <protection/>
    </xf>
    <xf numFmtId="0" fontId="39" fillId="0" borderId="59" xfId="58" applyFont="1" applyBorder="1" applyAlignment="1">
      <alignment horizontal="center" vertical="center" wrapText="1"/>
      <protection/>
    </xf>
    <xf numFmtId="0" fontId="47" fillId="0" borderId="0" xfId="58" applyFont="1" applyAlignment="1">
      <alignment horizontal="center" vertical="center" wrapText="1"/>
      <protection/>
    </xf>
    <xf numFmtId="0" fontId="39" fillId="0" borderId="132" xfId="58" applyFont="1" applyBorder="1">
      <alignment/>
      <protection/>
    </xf>
    <xf numFmtId="0" fontId="39" fillId="0" borderId="69" xfId="58" applyFont="1" applyBorder="1">
      <alignment/>
      <protection/>
    </xf>
    <xf numFmtId="3" fontId="39" fillId="0" borderId="70" xfId="58" applyNumberFormat="1" applyFont="1" applyBorder="1">
      <alignment/>
      <protection/>
    </xf>
    <xf numFmtId="3" fontId="39" fillId="0" borderId="69" xfId="58" applyNumberFormat="1" applyFont="1" applyBorder="1">
      <alignment/>
      <protection/>
    </xf>
    <xf numFmtId="0" fontId="64" fillId="0" borderId="0" xfId="58" applyFont="1">
      <alignment/>
      <protection/>
    </xf>
    <xf numFmtId="0" fontId="38" fillId="0" borderId="80" xfId="58" applyFont="1" applyBorder="1">
      <alignment/>
      <protection/>
    </xf>
    <xf numFmtId="0" fontId="38" fillId="0" borderId="71" xfId="58" applyFont="1" applyBorder="1">
      <alignment/>
      <protection/>
    </xf>
    <xf numFmtId="3" fontId="38" fillId="0" borderId="73" xfId="58" applyNumberFormat="1" applyFont="1" applyBorder="1">
      <alignment/>
      <protection/>
    </xf>
    <xf numFmtId="3" fontId="38" fillId="0" borderId="71" xfId="58" applyNumberFormat="1" applyFont="1" applyBorder="1">
      <alignment/>
      <protection/>
    </xf>
    <xf numFmtId="0" fontId="47" fillId="0" borderId="0" xfId="58" applyFont="1">
      <alignment/>
      <protection/>
    </xf>
    <xf numFmtId="0" fontId="38" fillId="0" borderId="73" xfId="58" applyFont="1" applyBorder="1">
      <alignment/>
      <protection/>
    </xf>
    <xf numFmtId="0" fontId="38" fillId="0" borderId="123" xfId="58" applyFont="1" applyBorder="1">
      <alignment/>
      <protection/>
    </xf>
    <xf numFmtId="0" fontId="38" fillId="0" borderId="93" xfId="58" applyFont="1" applyBorder="1">
      <alignment/>
      <protection/>
    </xf>
    <xf numFmtId="3" fontId="38" fillId="0" borderId="133" xfId="58" applyNumberFormat="1" applyFont="1" applyBorder="1">
      <alignment/>
      <protection/>
    </xf>
    <xf numFmtId="0" fontId="38" fillId="0" borderId="133" xfId="58" applyFont="1" applyBorder="1">
      <alignment/>
      <protection/>
    </xf>
    <xf numFmtId="0" fontId="39" fillId="0" borderId="132" xfId="58" applyFont="1" applyBorder="1">
      <alignment/>
      <protection/>
    </xf>
    <xf numFmtId="0" fontId="38" fillId="0" borderId="69" xfId="58" applyFont="1" applyBorder="1">
      <alignment/>
      <protection/>
    </xf>
    <xf numFmtId="0" fontId="38" fillId="0" borderId="70" xfId="58" applyFont="1" applyBorder="1">
      <alignment/>
      <protection/>
    </xf>
    <xf numFmtId="3" fontId="38" fillId="0" borderId="70" xfId="58" applyNumberFormat="1" applyFont="1" applyBorder="1">
      <alignment/>
      <protection/>
    </xf>
    <xf numFmtId="3" fontId="38" fillId="0" borderId="69" xfId="58" applyNumberFormat="1" applyFont="1" applyBorder="1">
      <alignment/>
      <protection/>
    </xf>
    <xf numFmtId="3" fontId="38" fillId="0" borderId="93" xfId="58" applyNumberFormat="1" applyFont="1" applyBorder="1">
      <alignment/>
      <protection/>
    </xf>
    <xf numFmtId="0" fontId="38" fillId="0" borderId="132" xfId="58" applyFont="1" applyBorder="1">
      <alignment/>
      <protection/>
    </xf>
    <xf numFmtId="3" fontId="38" fillId="0" borderId="70" xfId="58" applyNumberFormat="1" applyFont="1" applyBorder="1">
      <alignment/>
      <protection/>
    </xf>
    <xf numFmtId="3" fontId="38" fillId="0" borderId="69" xfId="58" applyNumberFormat="1" applyFont="1" applyBorder="1">
      <alignment/>
      <protection/>
    </xf>
    <xf numFmtId="0" fontId="38" fillId="0" borderId="117" xfId="58" applyFont="1" applyBorder="1">
      <alignment/>
      <protection/>
    </xf>
    <xf numFmtId="0" fontId="38" fillId="0" borderId="77" xfId="58" applyFont="1" applyBorder="1">
      <alignment/>
      <protection/>
    </xf>
    <xf numFmtId="3" fontId="38" fillId="0" borderId="79" xfId="58" applyNumberFormat="1" applyFont="1" applyBorder="1">
      <alignment/>
      <protection/>
    </xf>
    <xf numFmtId="3" fontId="38" fillId="0" borderId="77" xfId="58" applyNumberFormat="1" applyFont="1" applyBorder="1">
      <alignment/>
      <protection/>
    </xf>
    <xf numFmtId="0" fontId="38" fillId="0" borderId="37" xfId="58" applyFont="1" applyBorder="1">
      <alignment/>
      <protection/>
    </xf>
    <xf numFmtId="0" fontId="39" fillId="0" borderId="36" xfId="58" applyFont="1" applyBorder="1" applyAlignment="1">
      <alignment horizontal="left"/>
      <protection/>
    </xf>
    <xf numFmtId="3" fontId="39" fillId="0" borderId="41" xfId="58" applyNumberFormat="1" applyFont="1" applyBorder="1">
      <alignment/>
      <protection/>
    </xf>
    <xf numFmtId="3" fontId="39" fillId="0" borderId="36" xfId="58" applyNumberFormat="1" applyFont="1" applyBorder="1">
      <alignment/>
      <protection/>
    </xf>
    <xf numFmtId="0" fontId="38" fillId="0" borderId="0" xfId="58" applyFont="1">
      <alignment/>
      <protection/>
    </xf>
    <xf numFmtId="0" fontId="8" fillId="0" borderId="29" xfId="62" applyFont="1" applyBorder="1">
      <alignment/>
      <protection/>
    </xf>
    <xf numFmtId="0" fontId="45" fillId="40" borderId="60" xfId="0" applyFont="1" applyFill="1" applyBorder="1" applyAlignment="1">
      <alignment vertical="center" wrapText="1"/>
    </xf>
    <xf numFmtId="9" fontId="45" fillId="40" borderId="67" xfId="79" applyFont="1" applyFill="1" applyBorder="1" applyAlignment="1">
      <alignment vertical="center" wrapText="1"/>
    </xf>
    <xf numFmtId="0" fontId="39" fillId="0" borderId="0" xfId="0" applyFont="1" applyBorder="1" applyAlignment="1">
      <alignment horizontal="left"/>
    </xf>
    <xf numFmtId="174" fontId="45" fillId="0" borderId="0" xfId="46" applyNumberFormat="1" applyFont="1" applyBorder="1" applyAlignment="1">
      <alignment horizontal="right"/>
    </xf>
    <xf numFmtId="174" fontId="45" fillId="0" borderId="0" xfId="46" applyNumberFormat="1" applyFont="1" applyBorder="1" applyAlignment="1">
      <alignment horizontal="center"/>
    </xf>
    <xf numFmtId="0" fontId="47" fillId="0" borderId="15" xfId="0" applyFont="1" applyBorder="1" applyAlignment="1">
      <alignment/>
    </xf>
    <xf numFmtId="0" fontId="47" fillId="0" borderId="34" xfId="0" applyFont="1" applyBorder="1" applyAlignment="1">
      <alignment/>
    </xf>
    <xf numFmtId="0" fontId="47" fillId="0" borderId="18" xfId="0" applyFont="1" applyBorder="1" applyAlignment="1">
      <alignment/>
    </xf>
    <xf numFmtId="9" fontId="38" fillId="0" borderId="65" xfId="79" applyFont="1" applyFill="1" applyBorder="1" applyAlignment="1">
      <alignment vertical="center"/>
    </xf>
    <xf numFmtId="0" fontId="47" fillId="0" borderId="60" xfId="0" applyFont="1" applyBorder="1" applyAlignment="1">
      <alignment vertical="center"/>
    </xf>
    <xf numFmtId="3" fontId="38" fillId="0" borderId="57" xfId="0" applyNumberFormat="1" applyFont="1" applyFill="1" applyBorder="1" applyAlignment="1">
      <alignment vertical="center"/>
    </xf>
    <xf numFmtId="3" fontId="38" fillId="0" borderId="57" xfId="0" applyNumberFormat="1" applyFont="1" applyBorder="1" applyAlignment="1">
      <alignment vertical="center"/>
    </xf>
    <xf numFmtId="3" fontId="38" fillId="0" borderId="57" xfId="0" applyNumberFormat="1" applyFont="1" applyBorder="1" applyAlignment="1">
      <alignment vertical="center" wrapText="1"/>
    </xf>
    <xf numFmtId="9" fontId="47" fillId="0" borderId="67" xfId="79" applyFont="1" applyBorder="1" applyAlignment="1">
      <alignment vertical="center"/>
    </xf>
    <xf numFmtId="9" fontId="38" fillId="0" borderId="65" xfId="0" applyNumberFormat="1" applyFont="1" applyFill="1" applyBorder="1" applyAlignment="1">
      <alignment vertical="center"/>
    </xf>
    <xf numFmtId="9" fontId="40" fillId="0" borderId="65" xfId="0" applyNumberFormat="1" applyFont="1" applyFill="1" applyBorder="1" applyAlignment="1">
      <alignment vertical="center"/>
    </xf>
    <xf numFmtId="3" fontId="38" fillId="0" borderId="92" xfId="0" applyNumberFormat="1" applyFont="1" applyFill="1" applyBorder="1" applyAlignment="1">
      <alignment vertical="center"/>
    </xf>
    <xf numFmtId="3" fontId="38" fillId="0" borderId="87" xfId="0" applyNumberFormat="1" applyFont="1" applyFill="1" applyBorder="1" applyAlignment="1">
      <alignment vertical="center"/>
    </xf>
    <xf numFmtId="9" fontId="38" fillId="0" borderId="96" xfId="0" applyNumberFormat="1" applyFont="1" applyFill="1" applyBorder="1" applyAlignment="1">
      <alignment vertical="center"/>
    </xf>
    <xf numFmtId="3" fontId="38" fillId="0" borderId="83" xfId="0" applyNumberFormat="1" applyFont="1" applyFill="1" applyBorder="1" applyAlignment="1">
      <alignment vertical="center"/>
    </xf>
    <xf numFmtId="9" fontId="38" fillId="0" borderId="84" xfId="0" applyNumberFormat="1" applyFont="1" applyFill="1" applyBorder="1" applyAlignment="1">
      <alignment vertical="center"/>
    </xf>
    <xf numFmtId="9" fontId="38" fillId="0" borderId="68" xfId="0" applyNumberFormat="1" applyFont="1" applyFill="1" applyBorder="1" applyAlignment="1">
      <alignment vertical="center"/>
    </xf>
    <xf numFmtId="3" fontId="43" fillId="0" borderId="64" xfId="0" applyNumberFormat="1" applyFont="1" applyFill="1" applyBorder="1" applyAlignment="1">
      <alignment vertical="center" wrapText="1"/>
    </xf>
    <xf numFmtId="3" fontId="43" fillId="0" borderId="64" xfId="0" applyNumberFormat="1" applyFont="1" applyBorder="1" applyAlignment="1">
      <alignment vertical="center" wrapText="1"/>
    </xf>
    <xf numFmtId="3" fontId="40" fillId="0" borderId="64" xfId="0" applyNumberFormat="1" applyFont="1" applyBorder="1" applyAlignment="1">
      <alignment vertical="center" wrapText="1"/>
    </xf>
    <xf numFmtId="3" fontId="38" fillId="0" borderId="64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 wrapText="1"/>
    </xf>
    <xf numFmtId="3" fontId="40" fillId="0" borderId="0" xfId="0" applyNumberFormat="1" applyFont="1" applyFill="1" applyBorder="1" applyAlignment="1">
      <alignment vertical="center" wrapText="1"/>
    </xf>
    <xf numFmtId="0" fontId="44" fillId="0" borderId="85" xfId="0" applyFont="1" applyBorder="1" applyAlignment="1">
      <alignment vertical="center"/>
    </xf>
    <xf numFmtId="0" fontId="44" fillId="0" borderId="83" xfId="0" applyFont="1" applyBorder="1" applyAlignment="1">
      <alignment vertical="center"/>
    </xf>
    <xf numFmtId="3" fontId="38" fillId="0" borderId="83" xfId="0" applyNumberFormat="1" applyFont="1" applyBorder="1" applyAlignment="1">
      <alignment vertical="center"/>
    </xf>
    <xf numFmtId="9" fontId="44" fillId="0" borderId="84" xfId="79" applyFont="1" applyBorder="1" applyAlignment="1">
      <alignment vertical="center"/>
    </xf>
    <xf numFmtId="0" fontId="44" fillId="0" borderId="64" xfId="0" applyFont="1" applyBorder="1" applyAlignment="1">
      <alignment vertical="center"/>
    </xf>
    <xf numFmtId="9" fontId="44" fillId="0" borderId="65" xfId="79" applyFont="1" applyBorder="1" applyAlignment="1">
      <alignment vertical="center"/>
    </xf>
    <xf numFmtId="0" fontId="44" fillId="0" borderId="66" xfId="0" applyFont="1" applyBorder="1" applyAlignment="1">
      <alignment vertical="center"/>
    </xf>
    <xf numFmtId="0" fontId="44" fillId="0" borderId="92" xfId="0" applyFont="1" applyBorder="1" applyAlignment="1">
      <alignment vertical="center"/>
    </xf>
    <xf numFmtId="3" fontId="38" fillId="0" borderId="92" xfId="0" applyNumberFormat="1" applyFont="1" applyBorder="1" applyAlignment="1">
      <alignment vertical="center"/>
    </xf>
    <xf numFmtId="9" fontId="44" fillId="0" borderId="68" xfId="79" applyFont="1" applyBorder="1" applyAlignment="1">
      <alignment vertical="center"/>
    </xf>
    <xf numFmtId="0" fontId="45" fillId="0" borderId="83" xfId="0" applyFont="1" applyBorder="1" applyAlignment="1">
      <alignment vertical="center"/>
    </xf>
    <xf numFmtId="3" fontId="45" fillId="0" borderId="83" xfId="0" applyNumberFormat="1" applyFont="1" applyBorder="1" applyAlignment="1">
      <alignment vertical="center"/>
    </xf>
    <xf numFmtId="9" fontId="45" fillId="0" borderId="84" xfId="79" applyFont="1" applyBorder="1" applyAlignment="1">
      <alignment vertical="center"/>
    </xf>
    <xf numFmtId="0" fontId="45" fillId="0" borderId="86" xfId="0" applyFont="1" applyBorder="1" applyAlignment="1">
      <alignment vertical="center"/>
    </xf>
    <xf numFmtId="0" fontId="45" fillId="0" borderId="87" xfId="0" applyFont="1" applyBorder="1" applyAlignment="1">
      <alignment vertical="center"/>
    </xf>
    <xf numFmtId="3" fontId="45" fillId="0" borderId="87" xfId="0" applyNumberFormat="1" applyFont="1" applyBorder="1" applyAlignment="1">
      <alignment vertical="center"/>
    </xf>
    <xf numFmtId="9" fontId="45" fillId="0" borderId="96" xfId="79" applyFont="1" applyBorder="1" applyAlignment="1">
      <alignment vertical="center"/>
    </xf>
    <xf numFmtId="0" fontId="45" fillId="0" borderId="60" xfId="0" applyFont="1" applyBorder="1" applyAlignment="1">
      <alignment vertical="center"/>
    </xf>
    <xf numFmtId="0" fontId="45" fillId="0" borderId="57" xfId="0" applyFont="1" applyBorder="1" applyAlignment="1">
      <alignment vertical="center"/>
    </xf>
    <xf numFmtId="3" fontId="45" fillId="0" borderId="57" xfId="0" applyNumberFormat="1" applyFont="1" applyBorder="1" applyAlignment="1">
      <alignment vertical="center"/>
    </xf>
    <xf numFmtId="9" fontId="45" fillId="0" borderId="67" xfId="79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43" fillId="0" borderId="113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38" fillId="0" borderId="106" xfId="0" applyFont="1" applyFill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38" fillId="0" borderId="80" xfId="0" applyFont="1" applyBorder="1" applyAlignment="1">
      <alignment vertical="center"/>
    </xf>
    <xf numFmtId="3" fontId="38" fillId="0" borderId="71" xfId="0" applyNumberFormat="1" applyFont="1" applyBorder="1" applyAlignment="1">
      <alignment vertical="center"/>
    </xf>
    <xf numFmtId="3" fontId="38" fillId="0" borderId="80" xfId="0" applyNumberFormat="1" applyFont="1" applyBorder="1" applyAlignment="1">
      <alignment vertical="center"/>
    </xf>
    <xf numFmtId="3" fontId="38" fillId="0" borderId="63" xfId="0" applyNumberFormat="1" applyFont="1" applyFill="1" applyBorder="1" applyAlignment="1">
      <alignment vertical="center"/>
    </xf>
    <xf numFmtId="3" fontId="38" fillId="0" borderId="65" xfId="0" applyNumberFormat="1" applyFont="1" applyBorder="1" applyAlignment="1">
      <alignment vertical="center"/>
    </xf>
    <xf numFmtId="9" fontId="38" fillId="0" borderId="71" xfId="79" applyFont="1" applyBorder="1" applyAlignment="1">
      <alignment vertical="center"/>
    </xf>
    <xf numFmtId="3" fontId="38" fillId="0" borderId="80" xfId="0" applyNumberFormat="1" applyFont="1" applyFill="1" applyBorder="1" applyAlignment="1">
      <alignment vertical="center"/>
    </xf>
    <xf numFmtId="3" fontId="38" fillId="0" borderId="65" xfId="0" applyNumberFormat="1" applyFont="1" applyFill="1" applyBorder="1" applyAlignment="1">
      <alignment vertical="center"/>
    </xf>
    <xf numFmtId="0" fontId="38" fillId="0" borderId="80" xfId="0" applyFont="1" applyFill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3" fontId="43" fillId="0" borderId="30" xfId="0" applyNumberFormat="1" applyFont="1" applyBorder="1" applyAlignment="1">
      <alignment vertical="center"/>
    </xf>
    <xf numFmtId="3" fontId="43" fillId="0" borderId="61" xfId="0" applyNumberFormat="1" applyFont="1" applyFill="1" applyBorder="1" applyAlignment="1">
      <alignment vertical="center"/>
    </xf>
    <xf numFmtId="3" fontId="43" fillId="0" borderId="12" xfId="0" applyNumberFormat="1" applyFont="1" applyFill="1" applyBorder="1" applyAlignment="1">
      <alignment vertical="center"/>
    </xf>
    <xf numFmtId="3" fontId="43" fillId="0" borderId="10" xfId="0" applyNumberFormat="1" applyFont="1" applyFill="1" applyBorder="1" applyAlignment="1">
      <alignment vertical="center"/>
    </xf>
    <xf numFmtId="3" fontId="43" fillId="0" borderId="31" xfId="0" applyNumberFormat="1" applyFont="1" applyFill="1" applyBorder="1" applyAlignment="1">
      <alignment vertical="center"/>
    </xf>
    <xf numFmtId="9" fontId="43" fillId="0" borderId="30" xfId="79" applyFont="1" applyBorder="1" applyAlignment="1">
      <alignment vertical="center"/>
    </xf>
    <xf numFmtId="3" fontId="38" fillId="0" borderId="74" xfId="0" applyNumberFormat="1" applyFont="1" applyBorder="1" applyAlignment="1">
      <alignment vertical="center"/>
    </xf>
    <xf numFmtId="3" fontId="38" fillId="0" borderId="131" xfId="0" applyNumberFormat="1" applyFont="1" applyFill="1" applyBorder="1" applyAlignment="1">
      <alignment vertical="center"/>
    </xf>
    <xf numFmtId="3" fontId="38" fillId="0" borderId="66" xfId="0" applyNumberFormat="1" applyFont="1" applyFill="1" applyBorder="1" applyAlignment="1">
      <alignment vertical="center"/>
    </xf>
    <xf numFmtId="3" fontId="38" fillId="0" borderId="11" xfId="0" applyNumberFormat="1" applyFont="1" applyFill="1" applyBorder="1" applyAlignment="1">
      <alignment vertical="center"/>
    </xf>
    <xf numFmtId="3" fontId="38" fillId="0" borderId="89" xfId="0" applyNumberFormat="1" applyFont="1" applyFill="1" applyBorder="1" applyAlignment="1">
      <alignment vertical="center"/>
    </xf>
    <xf numFmtId="9" fontId="38" fillId="0" borderId="28" xfId="79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43" fillId="0" borderId="95" xfId="0" applyFont="1" applyBorder="1" applyAlignment="1">
      <alignment vertical="center"/>
    </xf>
    <xf numFmtId="3" fontId="43" fillId="0" borderId="29" xfId="0" applyNumberFormat="1" applyFont="1" applyBorder="1" applyAlignment="1">
      <alignment vertical="center"/>
    </xf>
    <xf numFmtId="3" fontId="43" fillId="0" borderId="121" xfId="0" applyNumberFormat="1" applyFont="1" applyFill="1" applyBorder="1" applyAlignment="1">
      <alignment vertical="center"/>
    </xf>
    <xf numFmtId="3" fontId="43" fillId="0" borderId="82" xfId="0" applyNumberFormat="1" applyFont="1" applyFill="1" applyBorder="1" applyAlignment="1">
      <alignment vertical="center"/>
    </xf>
    <xf numFmtId="3" fontId="43" fillId="0" borderId="13" xfId="0" applyNumberFormat="1" applyFont="1" applyFill="1" applyBorder="1" applyAlignment="1">
      <alignment vertical="center"/>
    </xf>
    <xf numFmtId="3" fontId="43" fillId="0" borderId="105" xfId="0" applyNumberFormat="1" applyFont="1" applyFill="1" applyBorder="1" applyAlignment="1">
      <alignment vertical="center"/>
    </xf>
    <xf numFmtId="9" fontId="43" fillId="0" borderId="29" xfId="79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3" fontId="39" fillId="0" borderId="36" xfId="0" applyNumberFormat="1" applyFont="1" applyBorder="1" applyAlignment="1">
      <alignment vertical="center"/>
    </xf>
    <xf numFmtId="3" fontId="39" fillId="0" borderId="37" xfId="0" applyNumberFormat="1" applyFont="1" applyBorder="1" applyAlignment="1">
      <alignment vertical="center"/>
    </xf>
    <xf numFmtId="3" fontId="39" fillId="0" borderId="37" xfId="0" applyNumberFormat="1" applyFont="1" applyFill="1" applyBorder="1" applyAlignment="1">
      <alignment vertical="center"/>
    </xf>
    <xf numFmtId="3" fontId="39" fillId="0" borderId="67" xfId="0" applyNumberFormat="1" applyFont="1" applyBorder="1" applyAlignment="1">
      <alignment vertical="center"/>
    </xf>
    <xf numFmtId="9" fontId="39" fillId="0" borderId="36" xfId="79" applyFont="1" applyBorder="1" applyAlignment="1">
      <alignment vertical="center"/>
    </xf>
    <xf numFmtId="0" fontId="8" fillId="0" borderId="93" xfId="0" applyFont="1" applyBorder="1" applyAlignment="1">
      <alignment vertical="center"/>
    </xf>
    <xf numFmtId="0" fontId="38" fillId="0" borderId="134" xfId="0" applyFont="1" applyFill="1" applyBorder="1" applyAlignment="1">
      <alignment vertical="center"/>
    </xf>
    <xf numFmtId="3" fontId="39" fillId="0" borderId="93" xfId="0" applyNumberFormat="1" applyFont="1" applyBorder="1" applyAlignment="1">
      <alignment vertical="center"/>
    </xf>
    <xf numFmtId="3" fontId="38" fillId="0" borderId="123" xfId="0" applyNumberFormat="1" applyFont="1" applyBorder="1" applyAlignment="1">
      <alignment vertical="center"/>
    </xf>
    <xf numFmtId="3" fontId="38" fillId="0" borderId="86" xfId="0" applyNumberFormat="1" applyFont="1" applyFill="1" applyBorder="1" applyAlignment="1">
      <alignment vertical="center"/>
    </xf>
    <xf numFmtId="3" fontId="39" fillId="0" borderId="87" xfId="0" applyNumberFormat="1" applyFont="1" applyBorder="1" applyAlignment="1">
      <alignment vertical="center"/>
    </xf>
    <xf numFmtId="3" fontId="38" fillId="0" borderId="96" xfId="0" applyNumberFormat="1" applyFont="1" applyFill="1" applyBorder="1" applyAlignment="1">
      <alignment vertical="center"/>
    </xf>
    <xf numFmtId="9" fontId="38" fillId="0" borderId="93" xfId="79" applyFont="1" applyBorder="1" applyAlignment="1">
      <alignment vertical="center"/>
    </xf>
    <xf numFmtId="0" fontId="8" fillId="0" borderId="132" xfId="0" applyFont="1" applyBorder="1" applyAlignment="1">
      <alignment vertical="center"/>
    </xf>
    <xf numFmtId="0" fontId="38" fillId="0" borderId="132" xfId="0" applyFont="1" applyBorder="1" applyAlignment="1">
      <alignment vertical="center"/>
    </xf>
    <xf numFmtId="174" fontId="38" fillId="0" borderId="69" xfId="46" applyNumberFormat="1" applyFont="1" applyBorder="1" applyAlignment="1">
      <alignment vertical="center" wrapText="1"/>
    </xf>
    <xf numFmtId="3" fontId="8" fillId="0" borderId="91" xfId="0" applyNumberFormat="1" applyFont="1" applyBorder="1" applyAlignment="1">
      <alignment vertical="center"/>
    </xf>
    <xf numFmtId="3" fontId="38" fillId="0" borderId="91" xfId="0" applyNumberFormat="1" applyFont="1" applyBorder="1" applyAlignment="1">
      <alignment vertical="center"/>
    </xf>
    <xf numFmtId="3" fontId="38" fillId="0" borderId="45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3" fontId="38" fillId="0" borderId="11" xfId="0" applyNumberFormat="1" applyFont="1" applyFill="1" applyBorder="1" applyAlignment="1">
      <alignment horizontal="right" vertical="center"/>
    </xf>
    <xf numFmtId="9" fontId="38" fillId="0" borderId="84" xfId="79" applyFont="1" applyBorder="1" applyAlignment="1">
      <alignment horizontal="right" vertical="center"/>
    </xf>
    <xf numFmtId="9" fontId="39" fillId="0" borderId="67" xfId="79" applyFont="1" applyBorder="1" applyAlignment="1">
      <alignment horizontal="right" vertical="center"/>
    </xf>
    <xf numFmtId="3" fontId="38" fillId="0" borderId="45" xfId="0" applyNumberFormat="1" applyFont="1" applyBorder="1" applyAlignment="1">
      <alignment horizontal="right" vertical="center"/>
    </xf>
    <xf numFmtId="3" fontId="38" fillId="0" borderId="102" xfId="0" applyNumberFormat="1" applyFont="1" applyBorder="1" applyAlignment="1">
      <alignment horizontal="right" vertical="center"/>
    </xf>
    <xf numFmtId="3" fontId="38" fillId="0" borderId="103" xfId="0" applyNumberFormat="1" applyFont="1" applyBorder="1" applyAlignment="1">
      <alignment horizontal="right" vertical="center"/>
    </xf>
    <xf numFmtId="3" fontId="38" fillId="0" borderId="22" xfId="0" applyNumberFormat="1" applyFont="1" applyBorder="1" applyAlignment="1">
      <alignment horizontal="right" vertical="center"/>
    </xf>
    <xf numFmtId="9" fontId="38" fillId="0" borderId="114" xfId="79" applyFont="1" applyBorder="1" applyAlignment="1">
      <alignment horizontal="right" vertical="center"/>
    </xf>
    <xf numFmtId="3" fontId="39" fillId="0" borderId="36" xfId="0" applyNumberFormat="1" applyFont="1" applyBorder="1" applyAlignment="1">
      <alignment horizontal="right" vertical="center"/>
    </xf>
    <xf numFmtId="3" fontId="39" fillId="0" borderId="60" xfId="0" applyNumberFormat="1" applyFont="1" applyBorder="1" applyAlignment="1">
      <alignment horizontal="right" vertical="center"/>
    </xf>
    <xf numFmtId="3" fontId="39" fillId="0" borderId="57" xfId="0" applyNumberFormat="1" applyFont="1" applyBorder="1" applyAlignment="1">
      <alignment horizontal="right" vertical="center"/>
    </xf>
    <xf numFmtId="0" fontId="8" fillId="0" borderId="131" xfId="0" applyFont="1" applyBorder="1" applyAlignment="1">
      <alignment vertical="center"/>
    </xf>
    <xf numFmtId="0" fontId="38" fillId="0" borderId="131" xfId="0" applyFont="1" applyBorder="1" applyAlignment="1">
      <alignment vertical="center"/>
    </xf>
    <xf numFmtId="174" fontId="38" fillId="0" borderId="74" xfId="46" applyNumberFormat="1" applyFont="1" applyBorder="1" applyAlignment="1">
      <alignment vertical="center" wrapText="1"/>
    </xf>
    <xf numFmtId="174" fontId="38" fillId="0" borderId="74" xfId="46" applyNumberFormat="1" applyFont="1" applyBorder="1" applyAlignment="1">
      <alignment horizontal="right" vertical="center" wrapText="1"/>
    </xf>
    <xf numFmtId="174" fontId="38" fillId="0" borderId="66" xfId="46" applyNumberFormat="1" applyFont="1" applyBorder="1" applyAlignment="1">
      <alignment horizontal="right" vertical="center" wrapText="1"/>
    </xf>
    <xf numFmtId="174" fontId="38" fillId="0" borderId="92" xfId="46" applyNumberFormat="1" applyFont="1" applyBorder="1" applyAlignment="1">
      <alignment horizontal="right" vertical="center" wrapText="1"/>
    </xf>
    <xf numFmtId="9" fontId="38" fillId="0" borderId="68" xfId="79" applyFont="1" applyBorder="1" applyAlignment="1">
      <alignment horizontal="right" vertical="center"/>
    </xf>
    <xf numFmtId="174" fontId="39" fillId="0" borderId="36" xfId="46" applyNumberFormat="1" applyFont="1" applyBorder="1" applyAlignment="1">
      <alignment vertical="center" wrapText="1"/>
    </xf>
    <xf numFmtId="174" fontId="39" fillId="0" borderId="36" xfId="46" applyNumberFormat="1" applyFont="1" applyBorder="1" applyAlignment="1">
      <alignment horizontal="right" vertical="center" wrapText="1"/>
    </xf>
    <xf numFmtId="174" fontId="39" fillId="0" borderId="60" xfId="46" applyNumberFormat="1" applyFont="1" applyBorder="1" applyAlignment="1">
      <alignment horizontal="right" vertical="center" wrapText="1"/>
    </xf>
    <xf numFmtId="174" fontId="39" fillId="0" borderId="57" xfId="46" applyNumberFormat="1" applyFont="1" applyBorder="1" applyAlignment="1">
      <alignment horizontal="right" vertical="center" wrapText="1"/>
    </xf>
    <xf numFmtId="49" fontId="9" fillId="0" borderId="17" xfId="0" applyNumberFormat="1" applyFont="1" applyBorder="1" applyAlignment="1">
      <alignment horizontal="center" vertical="center"/>
    </xf>
    <xf numFmtId="3" fontId="9" fillId="0" borderId="65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vertical="center" wrapTex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9" fontId="13" fillId="0" borderId="65" xfId="79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3" fillId="0" borderId="66" xfId="0" applyFont="1" applyBorder="1" applyAlignment="1">
      <alignment vertical="center"/>
    </xf>
    <xf numFmtId="9" fontId="8" fillId="0" borderId="68" xfId="0" applyNumberFormat="1" applyFont="1" applyBorder="1" applyAlignment="1">
      <alignment vertical="center"/>
    </xf>
    <xf numFmtId="9" fontId="8" fillId="0" borderId="0" xfId="0" applyNumberFormat="1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3" fontId="15" fillId="0" borderId="112" xfId="0" applyNumberFormat="1" applyFont="1" applyBorder="1" applyAlignment="1">
      <alignment vertical="center"/>
    </xf>
    <xf numFmtId="9" fontId="9" fillId="0" borderId="67" xfId="0" applyNumberFormat="1" applyFont="1" applyBorder="1" applyAlignment="1">
      <alignment vertical="center"/>
    </xf>
    <xf numFmtId="9" fontId="9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3" fillId="0" borderId="64" xfId="0" applyNumberFormat="1" applyFont="1" applyBorder="1" applyAlignment="1">
      <alignment vertical="center"/>
    </xf>
    <xf numFmtId="0" fontId="13" fillId="0" borderId="66" xfId="0" applyFont="1" applyBorder="1" applyAlignment="1">
      <alignment vertical="center"/>
    </xf>
    <xf numFmtId="3" fontId="13" fillId="0" borderId="92" xfId="0" applyNumberFormat="1" applyFont="1" applyBorder="1" applyAlignment="1">
      <alignment vertical="center"/>
    </xf>
    <xf numFmtId="9" fontId="9" fillId="0" borderId="68" xfId="0" applyNumberFormat="1" applyFont="1" applyBorder="1" applyAlignment="1">
      <alignment vertical="center"/>
    </xf>
    <xf numFmtId="3" fontId="15" fillId="0" borderId="5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60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9" fontId="13" fillId="0" borderId="116" xfId="79" applyFont="1" applyBorder="1" applyAlignment="1">
      <alignment vertical="center"/>
    </xf>
    <xf numFmtId="9" fontId="13" fillId="0" borderId="0" xfId="79" applyFont="1" applyBorder="1" applyAlignment="1">
      <alignment vertical="center"/>
    </xf>
    <xf numFmtId="174" fontId="18" fillId="0" borderId="112" xfId="46" applyNumberFormat="1" applyFont="1" applyBorder="1" applyAlignment="1">
      <alignment vertical="center"/>
    </xf>
    <xf numFmtId="4" fontId="13" fillId="0" borderId="6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3" fillId="0" borderId="97" xfId="0" applyFont="1" applyBorder="1" applyAlignment="1">
      <alignment vertical="center"/>
    </xf>
    <xf numFmtId="174" fontId="13" fillId="0" borderId="122" xfId="46" applyNumberFormat="1" applyFont="1" applyBorder="1" applyAlignment="1">
      <alignment vertical="center"/>
    </xf>
    <xf numFmtId="4" fontId="13" fillId="0" borderId="89" xfId="0" applyNumberFormat="1" applyFont="1" applyBorder="1" applyAlignment="1">
      <alignment vertical="center"/>
    </xf>
    <xf numFmtId="9" fontId="18" fillId="0" borderId="65" xfId="79" applyFont="1" applyBorder="1" applyAlignment="1">
      <alignment vertical="center"/>
    </xf>
    <xf numFmtId="9" fontId="18" fillId="0" borderId="0" xfId="79" applyFont="1" applyBorder="1" applyAlignment="1">
      <alignment vertical="center"/>
    </xf>
    <xf numFmtId="174" fontId="18" fillId="0" borderId="92" xfId="46" applyNumberFormat="1" applyFont="1" applyBorder="1" applyAlignment="1">
      <alignment vertical="center"/>
    </xf>
    <xf numFmtId="9" fontId="13" fillId="0" borderId="68" xfId="79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9" fontId="15" fillId="0" borderId="67" xfId="79" applyFont="1" applyBorder="1" applyAlignment="1">
      <alignment vertical="center"/>
    </xf>
    <xf numFmtId="9" fontId="15" fillId="0" borderId="0" xfId="79" applyFont="1" applyBorder="1" applyAlignment="1">
      <alignment vertical="center"/>
    </xf>
    <xf numFmtId="0" fontId="15" fillId="0" borderId="88" xfId="0" applyFont="1" applyBorder="1" applyAlignment="1">
      <alignment vertical="center"/>
    </xf>
    <xf numFmtId="0" fontId="15" fillId="0" borderId="89" xfId="0" applyFont="1" applyBorder="1" applyAlignment="1">
      <alignment vertical="center"/>
    </xf>
    <xf numFmtId="0" fontId="8" fillId="0" borderId="97" xfId="0" applyFont="1" applyFill="1" applyBorder="1" applyAlignment="1">
      <alignment vertical="center"/>
    </xf>
    <xf numFmtId="3" fontId="13" fillId="0" borderId="88" xfId="0" applyNumberFormat="1" applyFont="1" applyBorder="1" applyAlignment="1">
      <alignment vertical="center"/>
    </xf>
    <xf numFmtId="9" fontId="13" fillId="0" borderId="89" xfId="79" applyFont="1" applyBorder="1" applyAlignment="1">
      <alignment vertical="center"/>
    </xf>
    <xf numFmtId="174" fontId="15" fillId="0" borderId="64" xfId="46" applyNumberFormat="1" applyFont="1" applyBorder="1" applyAlignment="1">
      <alignment horizontal="center" vertical="center"/>
    </xf>
    <xf numFmtId="174" fontId="15" fillId="0" borderId="106" xfId="46" applyNumberFormat="1" applyFont="1" applyBorder="1" applyAlignment="1">
      <alignment horizontal="center" vertical="center"/>
    </xf>
    <xf numFmtId="3" fontId="14" fillId="0" borderId="65" xfId="0" applyNumberFormat="1" applyFont="1" applyFill="1" applyBorder="1" applyAlignment="1">
      <alignment vertical="center"/>
    </xf>
    <xf numFmtId="0" fontId="48" fillId="0" borderId="63" xfId="0" applyFont="1" applyBorder="1" applyAlignment="1">
      <alignment/>
    </xf>
    <xf numFmtId="0" fontId="48" fillId="0" borderId="64" xfId="0" applyFont="1" applyBorder="1" applyAlignment="1">
      <alignment/>
    </xf>
    <xf numFmtId="9" fontId="48" fillId="0" borderId="65" xfId="79" applyFont="1" applyBorder="1" applyAlignment="1">
      <alignment/>
    </xf>
    <xf numFmtId="174" fontId="38" fillId="0" borderId="64" xfId="46" applyNumberFormat="1" applyFont="1" applyBorder="1" applyAlignment="1">
      <alignment/>
    </xf>
    <xf numFmtId="174" fontId="39" fillId="0" borderId="57" xfId="46" applyNumberFormat="1" applyFont="1" applyFill="1" applyBorder="1" applyAlignment="1">
      <alignment/>
    </xf>
    <xf numFmtId="174" fontId="39" fillId="0" borderId="57" xfId="46" applyNumberFormat="1" applyFont="1" applyBorder="1" applyAlignment="1">
      <alignment/>
    </xf>
    <xf numFmtId="174" fontId="38" fillId="0" borderId="83" xfId="46" applyNumberFormat="1" applyFont="1" applyFill="1" applyBorder="1" applyAlignment="1">
      <alignment/>
    </xf>
    <xf numFmtId="174" fontId="38" fillId="0" borderId="83" xfId="46" applyNumberFormat="1" applyFont="1" applyFill="1" applyBorder="1" applyAlignment="1">
      <alignment horizontal="right"/>
    </xf>
    <xf numFmtId="174" fontId="38" fillId="0" borderId="83" xfId="46" applyNumberFormat="1" applyFont="1" applyBorder="1" applyAlignment="1">
      <alignment/>
    </xf>
    <xf numFmtId="174" fontId="39" fillId="0" borderId="64" xfId="46" applyNumberFormat="1" applyFont="1" applyBorder="1" applyAlignment="1">
      <alignment/>
    </xf>
    <xf numFmtId="9" fontId="45" fillId="0" borderId="65" xfId="79" applyFont="1" applyBorder="1" applyAlignment="1">
      <alignment/>
    </xf>
    <xf numFmtId="0" fontId="39" fillId="0" borderId="86" xfId="65" applyFont="1" applyFill="1" applyBorder="1" applyAlignment="1">
      <alignment vertical="top" wrapText="1"/>
      <protection/>
    </xf>
    <xf numFmtId="174" fontId="39" fillId="0" borderId="87" xfId="46" applyNumberFormat="1" applyFont="1" applyBorder="1" applyAlignment="1">
      <alignment/>
    </xf>
    <xf numFmtId="0" fontId="39" fillId="0" borderId="85" xfId="65" applyFont="1" applyFill="1" applyBorder="1" applyAlignment="1">
      <alignment vertical="top" wrapText="1"/>
      <protection/>
    </xf>
    <xf numFmtId="0" fontId="39" fillId="0" borderId="63" xfId="65" applyFont="1" applyFill="1" applyBorder="1" applyAlignment="1">
      <alignment vertical="top" wrapText="1"/>
      <protection/>
    </xf>
    <xf numFmtId="0" fontId="0" fillId="0" borderId="15" xfId="0" applyBorder="1" applyAlignment="1">
      <alignment/>
    </xf>
    <xf numFmtId="3" fontId="9" fillId="0" borderId="67" xfId="0" applyNumberFormat="1" applyFont="1" applyFill="1" applyBorder="1" applyAlignment="1">
      <alignment/>
    </xf>
    <xf numFmtId="3" fontId="9" fillId="0" borderId="67" xfId="0" applyNumberFormat="1" applyFont="1" applyFill="1" applyBorder="1" applyAlignment="1">
      <alignment/>
    </xf>
    <xf numFmtId="3" fontId="9" fillId="0" borderId="67" xfId="0" applyNumberFormat="1" applyFont="1" applyFill="1" applyBorder="1" applyAlignment="1">
      <alignment vertical="center"/>
    </xf>
    <xf numFmtId="3" fontId="9" fillId="0" borderId="67" xfId="46" applyNumberFormat="1" applyFont="1" applyBorder="1" applyAlignment="1">
      <alignment horizontal="right" vertical="center" wrapText="1"/>
    </xf>
    <xf numFmtId="3" fontId="8" fillId="0" borderId="83" xfId="68" applyNumberFormat="1" applyFont="1" applyBorder="1" applyAlignment="1">
      <alignment horizontal="right" vertical="center"/>
      <protection/>
    </xf>
    <xf numFmtId="3" fontId="8" fillId="0" borderId="84" xfId="68" applyNumberFormat="1" applyFont="1" applyBorder="1" applyAlignment="1">
      <alignment horizontal="right" vertical="center"/>
      <protection/>
    </xf>
    <xf numFmtId="3" fontId="8" fillId="0" borderId="87" xfId="69" applyNumberFormat="1" applyFont="1" applyFill="1" applyBorder="1" applyAlignment="1">
      <alignment horizontal="right" vertical="center"/>
      <protection/>
    </xf>
    <xf numFmtId="3" fontId="8" fillId="0" borderId="87" xfId="69" applyNumberFormat="1" applyFont="1" applyBorder="1" applyAlignment="1">
      <alignment horizontal="right" vertical="center"/>
      <protection/>
    </xf>
    <xf numFmtId="0" fontId="9" fillId="0" borderId="60" xfId="0" applyFont="1" applyBorder="1" applyAlignment="1">
      <alignment horizontal="center"/>
    </xf>
    <xf numFmtId="0" fontId="8" fillId="0" borderId="61" xfId="62" applyFont="1" applyBorder="1" applyAlignment="1">
      <alignment vertical="center" wrapText="1"/>
      <protection/>
    </xf>
    <xf numFmtId="0" fontId="16" fillId="0" borderId="87" xfId="71" applyBorder="1">
      <alignment/>
      <protection/>
    </xf>
    <xf numFmtId="174" fontId="12" fillId="0" borderId="96" xfId="49" applyNumberFormat="1" applyFont="1" applyBorder="1" applyAlignment="1">
      <alignment vertical="center"/>
    </xf>
    <xf numFmtId="174" fontId="12" fillId="0" borderId="57" xfId="71" applyNumberFormat="1" applyFont="1" applyFill="1" applyBorder="1" applyAlignment="1">
      <alignment vertical="center" wrapText="1"/>
      <protection/>
    </xf>
    <xf numFmtId="174" fontId="12" fillId="42" borderId="57" xfId="71" applyNumberFormat="1" applyFont="1" applyFill="1" applyBorder="1" applyAlignment="1">
      <alignment vertical="center" wrapText="1"/>
      <protection/>
    </xf>
    <xf numFmtId="0" fontId="40" fillId="0" borderId="86" xfId="70" applyFont="1" applyBorder="1">
      <alignment/>
      <protection/>
    </xf>
    <xf numFmtId="0" fontId="39" fillId="0" borderId="87" xfId="60" applyFont="1" applyFill="1" applyBorder="1" applyAlignment="1">
      <alignment wrapText="1"/>
      <protection/>
    </xf>
    <xf numFmtId="0" fontId="45" fillId="0" borderId="0" xfId="72" applyFont="1">
      <alignment/>
      <protection/>
    </xf>
    <xf numFmtId="9" fontId="38" fillId="0" borderId="68" xfId="79" applyFont="1" applyBorder="1" applyAlignment="1">
      <alignment vertical="center"/>
    </xf>
    <xf numFmtId="9" fontId="1" fillId="0" borderId="67" xfId="79" applyFont="1" applyFill="1" applyBorder="1" applyAlignment="1">
      <alignment vertical="center"/>
    </xf>
    <xf numFmtId="9" fontId="2" fillId="0" borderId="68" xfId="79" applyFont="1" applyFill="1" applyBorder="1" applyAlignment="1">
      <alignment vertical="center"/>
    </xf>
    <xf numFmtId="3" fontId="0" fillId="0" borderId="115" xfId="0" applyNumberFormat="1" applyFont="1" applyBorder="1" applyAlignment="1">
      <alignment vertical="center"/>
    </xf>
    <xf numFmtId="3" fontId="19" fillId="0" borderId="58" xfId="0" applyNumberFormat="1" applyFont="1" applyBorder="1" applyAlignment="1">
      <alignment horizontal="center" vertical="center" wrapText="1"/>
    </xf>
    <xf numFmtId="0" fontId="15" fillId="0" borderId="24" xfId="59" applyFont="1" applyBorder="1" applyAlignment="1">
      <alignment horizontal="center" vertical="center" wrapText="1"/>
      <protection/>
    </xf>
    <xf numFmtId="0" fontId="15" fillId="0" borderId="11" xfId="0" applyFont="1" applyBorder="1" applyAlignment="1">
      <alignment/>
    </xf>
    <xf numFmtId="179" fontId="15" fillId="0" borderId="24" xfId="59" applyNumberFormat="1" applyFont="1" applyBorder="1" applyAlignment="1">
      <alignment horizontal="center" vertical="center" wrapText="1"/>
      <protection/>
    </xf>
    <xf numFmtId="179" fontId="15" fillId="0" borderId="11" xfId="0" applyNumberFormat="1" applyFont="1" applyBorder="1" applyAlignment="1">
      <alignment/>
    </xf>
    <xf numFmtId="49" fontId="15" fillId="0" borderId="24" xfId="59" applyNumberFormat="1" applyFont="1" applyBorder="1" applyAlignment="1">
      <alignment horizontal="center" vertical="center" wrapText="1"/>
      <protection/>
    </xf>
    <xf numFmtId="49" fontId="15" fillId="0" borderId="11" xfId="0" applyNumberFormat="1" applyFont="1" applyBorder="1" applyAlignment="1">
      <alignment/>
    </xf>
    <xf numFmtId="0" fontId="15" fillId="0" borderId="135" xfId="0" applyFont="1" applyBorder="1" applyAlignment="1">
      <alignment horizontal="center" vertical="center"/>
    </xf>
    <xf numFmtId="0" fontId="15" fillId="0" borderId="124" xfId="0" applyFont="1" applyBorder="1" applyAlignment="1">
      <alignment horizontal="center" vertical="center"/>
    </xf>
    <xf numFmtId="3" fontId="15" fillId="0" borderId="24" xfId="59" applyNumberFormat="1" applyFont="1" applyBorder="1" applyAlignment="1">
      <alignment horizontal="center" vertical="center" wrapText="1"/>
      <protection/>
    </xf>
    <xf numFmtId="3" fontId="15" fillId="0" borderId="11" xfId="59" applyNumberFormat="1" applyFont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40" xfId="51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5" fillId="0" borderId="5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2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1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" fillId="0" borderId="102" xfId="0" applyFont="1" applyBorder="1" applyAlignment="1">
      <alignment horizontal="left"/>
    </xf>
    <xf numFmtId="0" fontId="10" fillId="0" borderId="103" xfId="0" applyFont="1" applyBorder="1" applyAlignment="1">
      <alignment horizontal="left"/>
    </xf>
    <xf numFmtId="0" fontId="10" fillId="0" borderId="8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38" fillId="0" borderId="123" xfId="0" applyFont="1" applyBorder="1" applyAlignment="1">
      <alignment vertical="center" wrapText="1"/>
    </xf>
    <xf numFmtId="0" fontId="38" fillId="0" borderId="136" xfId="0" applyFont="1" applyBorder="1" applyAlignment="1">
      <alignment vertical="center" wrapText="1"/>
    </xf>
    <xf numFmtId="0" fontId="38" fillId="0" borderId="133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15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/>
    </xf>
    <xf numFmtId="0" fontId="39" fillId="0" borderId="115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8" fillId="0" borderId="117" xfId="0" applyFont="1" applyFill="1" applyBorder="1" applyAlignment="1">
      <alignment horizontal="left" vertical="center" wrapText="1"/>
    </xf>
    <xf numFmtId="0" fontId="38" fillId="0" borderId="78" xfId="0" applyFont="1" applyFill="1" applyBorder="1" applyAlignment="1">
      <alignment horizontal="left" vertical="center" wrapText="1"/>
    </xf>
    <xf numFmtId="0" fontId="38" fillId="0" borderId="79" xfId="0" applyFont="1" applyFill="1" applyBorder="1" applyAlignment="1">
      <alignment horizontal="left" vertical="center" wrapText="1"/>
    </xf>
    <xf numFmtId="0" fontId="39" fillId="0" borderId="37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174" fontId="47" fillId="0" borderId="18" xfId="46" applyNumberFormat="1" applyFont="1" applyBorder="1" applyAlignment="1">
      <alignment horizontal="center" vertical="center"/>
    </xf>
    <xf numFmtId="174" fontId="47" fillId="0" borderId="58" xfId="46" applyNumberFormat="1" applyFont="1" applyBorder="1" applyAlignment="1">
      <alignment horizontal="center" vertical="center"/>
    </xf>
    <xf numFmtId="174" fontId="47" fillId="0" borderId="33" xfId="46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174" fontId="45" fillId="0" borderId="37" xfId="46" applyNumberFormat="1" applyFont="1" applyBorder="1" applyAlignment="1">
      <alignment horizontal="center" vertical="center"/>
    </xf>
    <xf numFmtId="174" fontId="45" fillId="0" borderId="40" xfId="46" applyNumberFormat="1" applyFont="1" applyBorder="1" applyAlignment="1">
      <alignment horizontal="center" vertical="center"/>
    </xf>
    <xf numFmtId="174" fontId="45" fillId="0" borderId="41" xfId="46" applyNumberFormat="1" applyFont="1" applyBorder="1" applyAlignment="1">
      <alignment horizontal="center" vertical="center"/>
    </xf>
    <xf numFmtId="0" fontId="38" fillId="0" borderId="80" xfId="0" applyFont="1" applyBorder="1" applyAlignment="1">
      <alignment vertical="center" wrapText="1"/>
    </xf>
    <xf numFmtId="0" fontId="38" fillId="0" borderId="72" xfId="0" applyFont="1" applyBorder="1" applyAlignment="1">
      <alignment vertical="center" wrapText="1"/>
    </xf>
    <xf numFmtId="0" fontId="38" fillId="0" borderId="73" xfId="0" applyFont="1" applyBorder="1" applyAlignment="1">
      <alignment vertical="center" wrapText="1"/>
    </xf>
    <xf numFmtId="174" fontId="44" fillId="0" borderId="117" xfId="46" applyNumberFormat="1" applyFont="1" applyBorder="1" applyAlignment="1">
      <alignment horizontal="center" vertical="center" wrapText="1"/>
    </xf>
    <xf numFmtId="174" fontId="44" fillId="0" borderId="78" xfId="46" applyNumberFormat="1" applyFont="1" applyBorder="1" applyAlignment="1">
      <alignment horizontal="center" vertical="center" wrapText="1"/>
    </xf>
    <xf numFmtId="174" fontId="44" fillId="0" borderId="79" xfId="46" applyNumberFormat="1" applyFont="1" applyBorder="1" applyAlignment="1">
      <alignment horizontal="center" vertical="center" wrapText="1"/>
    </xf>
    <xf numFmtId="174" fontId="47" fillId="0" borderId="123" xfId="46" applyNumberFormat="1" applyFont="1" applyBorder="1" applyAlignment="1">
      <alignment horizontal="center" vertical="center"/>
    </xf>
    <xf numFmtId="174" fontId="47" fillId="0" borderId="136" xfId="46" applyNumberFormat="1" applyFont="1" applyBorder="1" applyAlignment="1">
      <alignment horizontal="center" vertical="center"/>
    </xf>
    <xf numFmtId="174" fontId="47" fillId="0" borderId="133" xfId="46" applyNumberFormat="1" applyFont="1" applyBorder="1" applyAlignment="1">
      <alignment horizontal="center" vertical="center"/>
    </xf>
    <xf numFmtId="174" fontId="44" fillId="0" borderId="18" xfId="46" applyNumberFormat="1" applyFont="1" applyBorder="1" applyAlignment="1">
      <alignment horizontal="center" vertical="center" wrapText="1"/>
    </xf>
    <xf numFmtId="174" fontId="44" fillId="0" borderId="58" xfId="46" applyNumberFormat="1" applyFont="1" applyBorder="1" applyAlignment="1">
      <alignment horizontal="center" vertical="center" wrapText="1"/>
    </xf>
    <xf numFmtId="174" fontId="44" fillId="0" borderId="33" xfId="46" applyNumberFormat="1" applyFont="1" applyBorder="1" applyAlignment="1">
      <alignment horizontal="center" vertical="center" wrapText="1"/>
    </xf>
    <xf numFmtId="0" fontId="38" fillId="0" borderId="108" xfId="0" applyFont="1" applyFill="1" applyBorder="1" applyAlignment="1">
      <alignment horizontal="left" vertical="center" wrapText="1"/>
    </xf>
    <xf numFmtId="0" fontId="38" fillId="0" borderId="137" xfId="0" applyFont="1" applyFill="1" applyBorder="1" applyAlignment="1">
      <alignment horizontal="left" vertical="center" wrapText="1"/>
    </xf>
    <xf numFmtId="0" fontId="38" fillId="0" borderId="138" xfId="0" applyFont="1" applyFill="1" applyBorder="1" applyAlignment="1">
      <alignment horizontal="left" vertical="center" wrapText="1"/>
    </xf>
    <xf numFmtId="0" fontId="39" fillId="0" borderId="37" xfId="0" applyFont="1" applyBorder="1" applyAlignment="1">
      <alignment horizontal="left"/>
    </xf>
    <xf numFmtId="0" fontId="39" fillId="0" borderId="40" xfId="0" applyFont="1" applyBorder="1" applyAlignment="1">
      <alignment horizontal="left"/>
    </xf>
    <xf numFmtId="0" fontId="39" fillId="0" borderId="41" xfId="0" applyFont="1" applyBorder="1" applyAlignment="1">
      <alignment horizontal="left"/>
    </xf>
    <xf numFmtId="0" fontId="39" fillId="0" borderId="37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9" fillId="0" borderId="115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16" xfId="0" applyNumberFormat="1" applyFont="1" applyBorder="1" applyAlignment="1">
      <alignment horizontal="center" vertical="center" wrapText="1"/>
    </xf>
    <xf numFmtId="0" fontId="50" fillId="0" borderId="85" xfId="0" applyFont="1" applyFill="1" applyBorder="1" applyAlignment="1">
      <alignment vertical="center"/>
    </xf>
    <xf numFmtId="0" fontId="50" fillId="0" borderId="86" xfId="0" applyFont="1" applyFill="1" applyBorder="1" applyAlignment="1">
      <alignment vertical="center"/>
    </xf>
    <xf numFmtId="0" fontId="50" fillId="0" borderId="83" xfId="0" applyFont="1" applyFill="1" applyBorder="1" applyAlignment="1">
      <alignment vertical="center"/>
    </xf>
    <xf numFmtId="0" fontId="50" fillId="0" borderId="87" xfId="0" applyFont="1" applyFill="1" applyBorder="1" applyAlignment="1">
      <alignment vertical="center"/>
    </xf>
    <xf numFmtId="174" fontId="50" fillId="0" borderId="83" xfId="46" applyNumberFormat="1" applyFont="1" applyFill="1" applyBorder="1" applyAlignment="1">
      <alignment horizontal="center" vertical="center" wrapText="1"/>
    </xf>
    <xf numFmtId="174" fontId="50" fillId="0" borderId="87" xfId="46" applyNumberFormat="1" applyFont="1" applyFill="1" applyBorder="1" applyAlignment="1">
      <alignment horizontal="center" vertical="center" wrapText="1"/>
    </xf>
    <xf numFmtId="9" fontId="39" fillId="0" borderId="84" xfId="79" applyFont="1" applyFill="1" applyBorder="1" applyAlignment="1">
      <alignment horizontal="center" vertical="center" wrapText="1"/>
    </xf>
    <xf numFmtId="9" fontId="39" fillId="0" borderId="96" xfId="79" applyFont="1" applyFill="1" applyBorder="1" applyAlignment="1">
      <alignment horizontal="center" vertical="center" wrapText="1"/>
    </xf>
    <xf numFmtId="0" fontId="39" fillId="0" borderId="91" xfId="0" applyFont="1" applyBorder="1" applyAlignment="1">
      <alignment horizontal="center" vertical="center" wrapText="1"/>
    </xf>
    <xf numFmtId="0" fontId="39" fillId="0" borderId="121" xfId="0" applyFont="1" applyBorder="1" applyAlignment="1">
      <alignment horizontal="center" vertical="center" wrapText="1"/>
    </xf>
    <xf numFmtId="0" fontId="39" fillId="0" borderId="102" xfId="0" applyFont="1" applyBorder="1" applyAlignment="1">
      <alignment horizontal="center" vertical="center"/>
    </xf>
    <xf numFmtId="0" fontId="39" fillId="0" borderId="82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 wrapText="1"/>
    </xf>
    <xf numFmtId="0" fontId="39" fillId="0" borderId="126" xfId="0" applyFont="1" applyBorder="1" applyAlignment="1">
      <alignment horizontal="center" vertical="center" wrapText="1"/>
    </xf>
    <xf numFmtId="9" fontId="39" fillId="0" borderId="17" xfId="79" applyFont="1" applyFill="1" applyBorder="1" applyAlignment="1">
      <alignment horizontal="center" vertical="center" wrapText="1"/>
    </xf>
    <xf numFmtId="9" fontId="39" fillId="0" borderId="20" xfId="79" applyFont="1" applyFill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174" fontId="39" fillId="0" borderId="119" xfId="46" applyNumberFormat="1" applyFont="1" applyFill="1" applyBorder="1" applyAlignment="1">
      <alignment horizontal="center" vertical="center" wrapText="1"/>
    </xf>
    <xf numFmtId="174" fontId="39" fillId="0" borderId="139" xfId="46" applyNumberFormat="1" applyFont="1" applyFill="1" applyBorder="1" applyAlignment="1">
      <alignment horizontal="center" vertical="center" wrapText="1"/>
    </xf>
    <xf numFmtId="174" fontId="39" fillId="0" borderId="140" xfId="46" applyNumberFormat="1" applyFont="1" applyFill="1" applyBorder="1" applyAlignment="1">
      <alignment horizontal="center" vertical="center" wrapText="1"/>
    </xf>
    <xf numFmtId="174" fontId="39" fillId="0" borderId="16" xfId="46" applyNumberFormat="1" applyFont="1" applyFill="1" applyBorder="1" applyAlignment="1">
      <alignment horizontal="center" vertical="center" wrapText="1"/>
    </xf>
    <xf numFmtId="174" fontId="39" fillId="0" borderId="19" xfId="46" applyNumberFormat="1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174" fontId="9" fillId="0" borderId="119" xfId="46" applyNumberFormat="1" applyFont="1" applyFill="1" applyBorder="1" applyAlignment="1">
      <alignment horizontal="center" vertical="center" wrapText="1"/>
    </xf>
    <xf numFmtId="174" fontId="9" fillId="0" borderId="139" xfId="46" applyNumberFormat="1" applyFont="1" applyFill="1" applyBorder="1" applyAlignment="1">
      <alignment horizontal="center" vertical="center" wrapText="1"/>
    </xf>
    <xf numFmtId="174" fontId="9" fillId="0" borderId="140" xfId="46" applyNumberFormat="1" applyFont="1" applyFill="1" applyBorder="1" applyAlignment="1">
      <alignment horizontal="center" vertical="center" wrapText="1"/>
    </xf>
    <xf numFmtId="174" fontId="9" fillId="0" borderId="16" xfId="46" applyNumberFormat="1" applyFont="1" applyFill="1" applyBorder="1" applyAlignment="1">
      <alignment horizontal="center" vertical="center" wrapText="1"/>
    </xf>
    <xf numFmtId="174" fontId="9" fillId="0" borderId="19" xfId="46" applyNumberFormat="1" applyFont="1" applyFill="1" applyBorder="1" applyAlignment="1">
      <alignment horizontal="center" vertical="center" wrapText="1"/>
    </xf>
    <xf numFmtId="9" fontId="9" fillId="0" borderId="17" xfId="79" applyFont="1" applyFill="1" applyBorder="1" applyAlignment="1">
      <alignment horizontal="center" vertical="center" wrapText="1"/>
    </xf>
    <xf numFmtId="9" fontId="9" fillId="0" borderId="20" xfId="79" applyFont="1" applyFill="1" applyBorder="1" applyAlignment="1">
      <alignment horizontal="center" vertical="center" wrapText="1"/>
    </xf>
    <xf numFmtId="174" fontId="39" fillId="0" borderId="102" xfId="46" applyNumberFormat="1" applyFont="1" applyBorder="1" applyAlignment="1">
      <alignment horizontal="center" vertical="center" wrapText="1"/>
    </xf>
    <xf numFmtId="174" fontId="39" fillId="0" borderId="82" xfId="46" applyNumberFormat="1" applyFont="1" applyBorder="1" applyAlignment="1">
      <alignment horizontal="center" vertical="center" wrapText="1"/>
    </xf>
    <xf numFmtId="174" fontId="39" fillId="0" borderId="102" xfId="46" applyNumberFormat="1" applyFont="1" applyBorder="1" applyAlignment="1">
      <alignment horizontal="center" vertical="center" wrapText="1"/>
    </xf>
    <xf numFmtId="174" fontId="39" fillId="0" borderId="82" xfId="46" applyNumberFormat="1" applyFont="1" applyBorder="1" applyAlignment="1">
      <alignment horizontal="center" vertical="center" wrapText="1"/>
    </xf>
    <xf numFmtId="174" fontId="39" fillId="0" borderId="103" xfId="46" applyNumberFormat="1" applyFont="1" applyBorder="1" applyAlignment="1">
      <alignment vertical="center" wrapText="1"/>
    </xf>
    <xf numFmtId="174" fontId="39" fillId="0" borderId="13" xfId="46" applyNumberFormat="1" applyFont="1" applyBorder="1" applyAlignment="1">
      <alignment vertical="center" wrapText="1"/>
    </xf>
    <xf numFmtId="0" fontId="39" fillId="0" borderId="10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8" fillId="0" borderId="141" xfId="67" applyFont="1" applyBorder="1" applyAlignment="1">
      <alignment horizontal="center" vertical="center" wrapText="1"/>
      <protection/>
    </xf>
    <xf numFmtId="0" fontId="28" fillId="0" borderId="57" xfId="67" applyFont="1" applyBorder="1" applyAlignment="1">
      <alignment horizontal="center" vertical="center" wrapText="1"/>
      <protection/>
    </xf>
    <xf numFmtId="0" fontId="28" fillId="0" borderId="112" xfId="67" applyFont="1" applyBorder="1" applyAlignment="1">
      <alignment horizontal="center" vertical="center" wrapText="1"/>
      <protection/>
    </xf>
    <xf numFmtId="0" fontId="28" fillId="0" borderId="26" xfId="67" applyFont="1" applyBorder="1" applyAlignment="1">
      <alignment horizontal="center" vertical="center"/>
      <protection/>
    </xf>
    <xf numFmtId="0" fontId="28" fillId="0" borderId="27" xfId="67" applyFont="1" applyBorder="1" applyAlignment="1">
      <alignment horizontal="center" vertical="center"/>
      <protection/>
    </xf>
    <xf numFmtId="0" fontId="28" fillId="0" borderId="37" xfId="67" applyFont="1" applyBorder="1" applyAlignment="1">
      <alignment horizontal="center" vertical="center" wrapText="1"/>
      <protection/>
    </xf>
    <xf numFmtId="0" fontId="28" fillId="0" borderId="40" xfId="67" applyFont="1" applyBorder="1" applyAlignment="1">
      <alignment horizontal="center" vertical="center" wrapText="1"/>
      <protection/>
    </xf>
    <xf numFmtId="0" fontId="28" fillId="0" borderId="37" xfId="67" applyFont="1" applyFill="1" applyBorder="1" applyAlignment="1">
      <alignment horizontal="center" vertical="center" wrapText="1"/>
      <protection/>
    </xf>
    <xf numFmtId="0" fontId="28" fillId="0" borderId="40" xfId="67" applyFont="1" applyFill="1" applyBorder="1" applyAlignment="1">
      <alignment horizontal="center" vertical="center" wrapText="1"/>
      <protection/>
    </xf>
    <xf numFmtId="0" fontId="28" fillId="0" borderId="41" xfId="6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174" fontId="27" fillId="0" borderId="142" xfId="46" applyNumberFormat="1" applyFont="1" applyBorder="1" applyAlignment="1">
      <alignment horizontal="center"/>
    </xf>
    <xf numFmtId="174" fontId="27" fillId="0" borderId="95" xfId="46" applyNumberFormat="1" applyFont="1" applyBorder="1" applyAlignment="1">
      <alignment horizontal="center"/>
    </xf>
    <xf numFmtId="174" fontId="27" fillId="0" borderId="143" xfId="46" applyNumberFormat="1" applyFont="1" applyBorder="1" applyAlignment="1">
      <alignment horizontal="center"/>
    </xf>
    <xf numFmtId="0" fontId="27" fillId="0" borderId="37" xfId="67" applyFont="1" applyBorder="1" applyAlignment="1">
      <alignment horizontal="center" vertical="center"/>
      <protection/>
    </xf>
    <xf numFmtId="0" fontId="27" fillId="0" borderId="40" xfId="67" applyFont="1" applyBorder="1" applyAlignment="1">
      <alignment horizontal="center" vertical="center"/>
      <protection/>
    </xf>
    <xf numFmtId="0" fontId="27" fillId="0" borderId="41" xfId="67" applyFont="1" applyBorder="1" applyAlignment="1">
      <alignment horizontal="center" vertical="center"/>
      <protection/>
    </xf>
    <xf numFmtId="174" fontId="27" fillId="0" borderId="144" xfId="46" applyNumberFormat="1" applyFont="1" applyBorder="1" applyAlignment="1">
      <alignment/>
    </xf>
    <xf numFmtId="174" fontId="27" fillId="0" borderId="145" xfId="46" applyNumberFormat="1" applyFont="1" applyBorder="1" applyAlignment="1">
      <alignment/>
    </xf>
    <xf numFmtId="174" fontId="27" fillId="0" borderId="146" xfId="46" applyNumberFormat="1" applyFont="1" applyBorder="1" applyAlignment="1">
      <alignment/>
    </xf>
    <xf numFmtId="3" fontId="9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9" fillId="0" borderId="10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126" xfId="0" applyNumberFormat="1" applyFont="1" applyBorder="1" applyAlignment="1">
      <alignment horizontal="center" vertical="center"/>
    </xf>
    <xf numFmtId="0" fontId="39" fillId="0" borderId="102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10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4" fontId="39" fillId="0" borderId="21" xfId="46" applyNumberFormat="1" applyFont="1" applyBorder="1" applyAlignment="1">
      <alignment horizontal="center" vertical="center" wrapText="1"/>
    </xf>
    <xf numFmtId="174" fontId="39" fillId="0" borderId="126" xfId="46" applyNumberFormat="1" applyFont="1" applyBorder="1" applyAlignment="1">
      <alignment horizontal="center" vertical="center" wrapText="1"/>
    </xf>
    <xf numFmtId="174" fontId="9" fillId="0" borderId="83" xfId="46" applyNumberFormat="1" applyFont="1" applyFill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38" fillId="0" borderId="21" xfId="0" applyNumberFormat="1" applyFont="1" applyBorder="1" applyAlignment="1">
      <alignment horizontal="center"/>
    </xf>
    <xf numFmtId="3" fontId="38" fillId="0" borderId="126" xfId="0" applyNumberFormat="1" applyFont="1" applyBorder="1" applyAlignment="1">
      <alignment horizontal="center"/>
    </xf>
    <xf numFmtId="3" fontId="8" fillId="0" borderId="102" xfId="0" applyNumberFormat="1" applyFont="1" applyBorder="1" applyAlignment="1">
      <alignment horizontal="center" vertical="center" wrapText="1"/>
    </xf>
    <xf numFmtId="3" fontId="8" fillId="0" borderId="82" xfId="0" applyNumberFormat="1" applyFont="1" applyBorder="1" applyAlignment="1">
      <alignment horizontal="center" vertical="center" wrapText="1"/>
    </xf>
    <xf numFmtId="0" fontId="9" fillId="0" borderId="102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3" fontId="38" fillId="0" borderId="102" xfId="0" applyNumberFormat="1" applyFont="1" applyBorder="1" applyAlignment="1">
      <alignment horizontal="center"/>
    </xf>
    <xf numFmtId="3" fontId="38" fillId="0" borderId="82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/>
    </xf>
    <xf numFmtId="3" fontId="8" fillId="0" borderId="65" xfId="0" applyNumberFormat="1" applyFont="1" applyFill="1" applyBorder="1" applyAlignment="1">
      <alignment wrapText="1"/>
    </xf>
    <xf numFmtId="3" fontId="9" fillId="38" borderId="17" xfId="0" applyNumberFormat="1" applyFont="1" applyFill="1" applyBorder="1" applyAlignment="1">
      <alignment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Normál 2" xfId="58"/>
    <cellStyle name="Normál_2.mód. füzet" xfId="59"/>
    <cellStyle name="Normál_2009kv.osztályok3" xfId="60"/>
    <cellStyle name="Normál_2009kv.osztályok3 2" xfId="61"/>
    <cellStyle name="Normál_2010 2. mód." xfId="62"/>
    <cellStyle name="Normál_2011.csökkentetttés" xfId="63"/>
    <cellStyle name="Normál_2013. évi létszámtábla Nórinak" xfId="64"/>
    <cellStyle name="Normál_2014_évi_költségvetési terv pohi-2" xfId="65"/>
    <cellStyle name="Normál_2014_évi_költségvetési terv_önkori-1" xfId="66"/>
    <cellStyle name="Normál_adósságot k. tábla" xfId="67"/>
    <cellStyle name="Normál_előir felh-1" xfId="68"/>
    <cellStyle name="Normál_előterjesztés számszaki táblák 2012 (version 1) (version 1) itthon (version 2) (version 1) (version 1) (version 1)" xfId="69"/>
    <cellStyle name="Normál_Kvetési tervezetek -2000. (üres)" xfId="70"/>
    <cellStyle name="Normál_Normatív hozzájárulások" xfId="71"/>
    <cellStyle name="Normál_segély 4a tábla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externalLink" Target="externalLinks/externalLink1.xml" /><Relationship Id="rId62" Type="http://schemas.openxmlformats.org/officeDocument/2006/relationships/externalLink" Target="externalLinks/externalLink2.xml" /><Relationship Id="rId6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ile\Home\Pukltsgvet\N&#211;RA\K&#214;LT&#201;SGVET&#201;S\2016\k&#246;lts&#233;gvet&#233;s\2012%20k&#246;lts&#233;gvet&#233;s\K&#246;lts&#233;gvet&#233;s%20t&#225;bl&#225;zat%20mell&#233;kletei\Cig&#225;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\AppData\Local\Temp\3%20m&#243;d%202015.%20t&#225;bl&#225;k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."/>
      <sheetName val="2. mell."/>
      <sheetName val="3. mell."/>
      <sheetName val="4. mell."/>
      <sheetName val="5. mell."/>
      <sheetName val="6. mell."/>
      <sheetName val="7. mell."/>
      <sheetName val="8. mell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régi"/>
      <sheetName val="Intézmények"/>
      <sheetName val="füzet"/>
      <sheetName val="ellenőrző"/>
      <sheetName val="Közös adatok"/>
      <sheetName val="Bevételek"/>
      <sheetName val="Önkormányzat"/>
      <sheetName val="POHI"/>
      <sheetName val="Intézmény"/>
      <sheetName val="Tartalomjegyzék"/>
      <sheetName val="1.Összesítő"/>
      <sheetName val="1.1.KTV-I mérleg"/>
      <sheetName val="1.2.Többéves kihat"/>
      <sheetName val="1.3. Mérleg"/>
      <sheetName val="1.4.EU-S"/>
      <sheetName val="1.5. Létszám"/>
      <sheetName val="2.ÖNKORMÁNYZAT"/>
      <sheetName val="2.1.Bevétel"/>
      <sheetName val="2.2. Kp-i tám"/>
      <sheetName val="2.3.Kiad."/>
      <sheetName val="2.4.Átad.Peszk."/>
      <sheetName val="2.5.Céltart"/>
      <sheetName val="2.6. segély"/>
      <sheetName val="2.7.Beruh"/>
      <sheetName val="2.8.Felúj."/>
      <sheetName val="2.9.ADÓSSÁG"/>
      <sheetName val="2.10. Előir.felh."/>
      <sheetName val="2.11. Közv. tám"/>
      <sheetName val="3.POLGÁRMESTERI HIVATAL"/>
      <sheetName val="3.1.Bevétel POHI"/>
      <sheetName val="3.2.Kiad. POHI"/>
      <sheetName val="3.3.Céltart POHI"/>
      <sheetName val="3.4. Segély Pohi"/>
      <sheetName val="3.5.Beruh POHI"/>
      <sheetName val="3.6.Felúj. POHI"/>
      <sheetName val="3.7. Előir.felh. POHI"/>
      <sheetName val="3.8. Átadott pe"/>
      <sheetName val="INTÉZMÉNYEK Ö"/>
      <sheetName val="4. iNT ÖSSZESÍTŐ"/>
      <sheetName val="4.1.HSZI bev-kiad"/>
      <sheetName val="4.2. HSZI beruh"/>
      <sheetName val="4.3. SZOCIFOGI bev-kiad"/>
      <sheetName val="4.4. SZOCIFOGI beruh"/>
      <sheetName val="4.5. CSILI bev-kiad"/>
      <sheetName val="4.6. CSILI beruh"/>
      <sheetName val="4.7. MÚZ bev-kiad"/>
      <sheetName val="4.8. MÚZ beruh"/>
      <sheetName val="4.9. BAROSS bev-kiad"/>
      <sheetName val="4.10. BAROSS beruh"/>
      <sheetName val="4.11. GÉZ bev-kiad"/>
      <sheetName val="4.12. GÉZ beruh"/>
      <sheetName val="4.13. LUR bev-kiad"/>
      <sheetName val="4.14. LUR beruh"/>
      <sheetName val="4.15. NYIT bev-kiad"/>
      <sheetName val="4.16. NYIT beruh"/>
      <sheetName val="4.17. GYMOS bev-kiad"/>
      <sheetName val="4.18. GYMOS beruh"/>
      <sheetName val="4.19. KER bev-kiad"/>
      <sheetName val="4.20. KER beruh"/>
      <sheetName val="4.21. GAMESZ bev-kiad"/>
      <sheetName val="4.22. GAMESZ beruh"/>
      <sheetName val="4.23. Előir.felh"/>
      <sheetName val="4.24. Közv. tám"/>
      <sheetName val="15.elői.felhaszn."/>
    </sheetNames>
    <sheetDataSet>
      <sheetData sheetId="17">
        <row r="93">
          <cell r="F93">
            <v>0</v>
          </cell>
        </row>
      </sheetData>
      <sheetData sheetId="38">
        <row r="8">
          <cell r="F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E101"/>
  <sheetViews>
    <sheetView zoomScale="80" zoomScaleNormal="80" zoomScalePageLayoutView="0" workbookViewId="0" topLeftCell="B90">
      <selection activeCell="D102" sqref="D102"/>
    </sheetView>
  </sheetViews>
  <sheetFormatPr defaultColWidth="9.140625" defaultRowHeight="12.75"/>
  <cols>
    <col min="1" max="1" width="51.7109375" style="0" customWidth="1"/>
    <col min="2" max="2" width="13.57421875" style="5" customWidth="1"/>
    <col min="3" max="3" width="13.7109375" style="5" customWidth="1"/>
    <col min="4" max="4" width="12.8515625" style="5" customWidth="1"/>
    <col min="5" max="5" width="15.57421875" style="1" customWidth="1"/>
    <col min="6" max="6" width="10.57421875" style="0" customWidth="1"/>
    <col min="7" max="7" width="10.00390625" style="0" customWidth="1"/>
  </cols>
  <sheetData>
    <row r="1" spans="1:5" ht="38.25" customHeight="1">
      <c r="A1" s="6" t="s">
        <v>758</v>
      </c>
      <c r="B1" s="15" t="s">
        <v>295</v>
      </c>
      <c r="C1" s="34" t="s">
        <v>30</v>
      </c>
      <c r="D1" s="34" t="s">
        <v>288</v>
      </c>
      <c r="E1" s="36"/>
    </row>
    <row r="2" spans="1:5" ht="18" customHeight="1">
      <c r="A2" s="7" t="s">
        <v>299</v>
      </c>
      <c r="B2" s="44">
        <f>B3+B5</f>
        <v>595767</v>
      </c>
      <c r="C2" s="47">
        <f>C3+C5</f>
        <v>663040</v>
      </c>
      <c r="D2" s="47">
        <f>D3+D5</f>
        <v>606950</v>
      </c>
      <c r="E2" s="33"/>
    </row>
    <row r="3" spans="1:5" ht="13.5" customHeight="1">
      <c r="A3" s="10" t="s">
        <v>300</v>
      </c>
      <c r="B3" s="45">
        <v>498197</v>
      </c>
      <c r="C3" s="46">
        <v>559870</v>
      </c>
      <c r="D3" s="46">
        <v>565950</v>
      </c>
      <c r="E3" s="39"/>
    </row>
    <row r="4" spans="1:5" ht="13.5" customHeight="1">
      <c r="A4" s="10" t="s">
        <v>441</v>
      </c>
      <c r="B4" s="45"/>
      <c r="C4" s="43"/>
      <c r="D4" s="43">
        <v>165684</v>
      </c>
      <c r="E4" s="39"/>
    </row>
    <row r="5" spans="1:5" ht="13.5" customHeight="1">
      <c r="A5" s="10" t="s">
        <v>301</v>
      </c>
      <c r="B5" s="45">
        <f>+B6+B7+B12</f>
        <v>97570</v>
      </c>
      <c r="C5" s="45">
        <f>+C6+C7+C12</f>
        <v>103170</v>
      </c>
      <c r="D5" s="45">
        <f>+D6+D7+D12</f>
        <v>41000</v>
      </c>
      <c r="E5" s="39"/>
    </row>
    <row r="6" spans="1:5" ht="26.25" customHeight="1">
      <c r="A6" s="11" t="s">
        <v>302</v>
      </c>
      <c r="B6" s="45">
        <v>13000</v>
      </c>
      <c r="C6" s="46">
        <v>13000</v>
      </c>
      <c r="D6" s="46">
        <v>7000</v>
      </c>
      <c r="E6" s="39"/>
    </row>
    <row r="7" spans="1:5" ht="13.5" customHeight="1">
      <c r="A7" s="10" t="s">
        <v>303</v>
      </c>
      <c r="B7" s="45">
        <v>75070</v>
      </c>
      <c r="C7" s="46">
        <v>75053</v>
      </c>
      <c r="D7" s="46">
        <v>20000</v>
      </c>
      <c r="E7" s="39"/>
    </row>
    <row r="8" spans="1:5" ht="13.5" customHeight="1">
      <c r="A8" s="10" t="s">
        <v>684</v>
      </c>
      <c r="B8" s="45"/>
      <c r="C8" s="46">
        <v>0</v>
      </c>
      <c r="D8" s="46"/>
      <c r="E8" s="39"/>
    </row>
    <row r="9" spans="1:5" ht="13.5" customHeight="1">
      <c r="A9" s="10" t="s">
        <v>685</v>
      </c>
      <c r="B9" s="45">
        <v>70</v>
      </c>
      <c r="C9" s="46">
        <v>6</v>
      </c>
      <c r="D9" s="46"/>
      <c r="E9" s="39"/>
    </row>
    <row r="10" spans="1:5" ht="13.5" customHeight="1">
      <c r="A10" s="10" t="s">
        <v>306</v>
      </c>
      <c r="B10" s="45"/>
      <c r="C10" s="46">
        <v>37</v>
      </c>
      <c r="D10" s="46"/>
      <c r="E10" s="39"/>
    </row>
    <row r="11" spans="1:5" ht="13.5" customHeight="1">
      <c r="A11" s="10" t="s">
        <v>40</v>
      </c>
      <c r="B11" s="45"/>
      <c r="C11" s="46">
        <v>10</v>
      </c>
      <c r="D11" s="46"/>
      <c r="E11" s="39"/>
    </row>
    <row r="12" spans="1:5" ht="13.5" customHeight="1">
      <c r="A12" s="10" t="s">
        <v>36</v>
      </c>
      <c r="B12" s="45">
        <v>9500</v>
      </c>
      <c r="C12" s="46">
        <v>15117</v>
      </c>
      <c r="D12" s="46">
        <v>14000</v>
      </c>
      <c r="E12" s="39"/>
    </row>
    <row r="13" spans="1:5" ht="13.5" customHeight="1">
      <c r="A13" s="7" t="s">
        <v>37</v>
      </c>
      <c r="B13" s="44">
        <f>SUM(B14,B18,B22)</f>
        <v>3344063</v>
      </c>
      <c r="C13" s="44">
        <v>3364313</v>
      </c>
      <c r="D13" s="44">
        <f>SUM(D14,D18,D22)</f>
        <v>3844698</v>
      </c>
      <c r="E13" s="33"/>
    </row>
    <row r="14" spans="1:5" ht="13.5" customHeight="1">
      <c r="A14" s="10" t="s">
        <v>403</v>
      </c>
      <c r="B14" s="45">
        <f>B15+B16+B17</f>
        <v>1977470</v>
      </c>
      <c r="C14" s="45">
        <v>2000736</v>
      </c>
      <c r="D14" s="45">
        <f>SUM(D15:D17)</f>
        <v>2493026</v>
      </c>
      <c r="E14" s="35"/>
    </row>
    <row r="15" spans="1:5" ht="13.5" customHeight="1">
      <c r="A15" s="10" t="s">
        <v>734</v>
      </c>
      <c r="B15" s="45">
        <v>190000</v>
      </c>
      <c r="C15" s="40">
        <v>191710</v>
      </c>
      <c r="D15" s="40">
        <v>275000</v>
      </c>
      <c r="E15" s="37"/>
    </row>
    <row r="16" spans="1:5" ht="13.5" customHeight="1">
      <c r="A16" s="10" t="s">
        <v>351</v>
      </c>
      <c r="B16" s="45">
        <v>105000</v>
      </c>
      <c r="C16" s="40">
        <v>105000</v>
      </c>
      <c r="D16" s="40">
        <v>108000</v>
      </c>
      <c r="E16" s="37"/>
    </row>
    <row r="17" spans="1:5" ht="13.5" customHeight="1">
      <c r="A17" s="10" t="s">
        <v>353</v>
      </c>
      <c r="B17" s="45">
        <v>1682470</v>
      </c>
      <c r="C17" s="40">
        <v>1704026</v>
      </c>
      <c r="D17" s="40">
        <v>2110026</v>
      </c>
      <c r="E17" s="37"/>
    </row>
    <row r="18" spans="1:5" ht="13.5" customHeight="1">
      <c r="A18" s="10" t="s">
        <v>354</v>
      </c>
      <c r="B18" s="45">
        <f>SUM(B19:B21)</f>
        <v>1108593</v>
      </c>
      <c r="C18" s="45">
        <v>1105577</v>
      </c>
      <c r="D18" s="45">
        <f>SUM(D19:D21)</f>
        <v>1091042</v>
      </c>
      <c r="E18" s="35"/>
    </row>
    <row r="19" spans="1:5" ht="13.5" customHeight="1">
      <c r="A19" s="10" t="s">
        <v>31</v>
      </c>
      <c r="B19" s="45">
        <v>669135</v>
      </c>
      <c r="C19" s="40">
        <v>666119</v>
      </c>
      <c r="D19" s="40">
        <v>916042</v>
      </c>
      <c r="E19" s="37"/>
    </row>
    <row r="20" spans="1:5" ht="30" customHeight="1">
      <c r="A20" s="11" t="s">
        <v>318</v>
      </c>
      <c r="B20" s="45">
        <v>320458</v>
      </c>
      <c r="C20" s="40">
        <v>320458</v>
      </c>
      <c r="D20" s="40"/>
      <c r="E20" s="37"/>
    </row>
    <row r="21" spans="1:5" ht="13.5" customHeight="1">
      <c r="A21" s="10" t="s">
        <v>319</v>
      </c>
      <c r="B21" s="45">
        <v>119000</v>
      </c>
      <c r="C21" s="40">
        <v>119000</v>
      </c>
      <c r="D21" s="40">
        <v>175000</v>
      </c>
      <c r="E21" s="37"/>
    </row>
    <row r="22" spans="1:5" ht="13.5" customHeight="1">
      <c r="A22" s="10" t="s">
        <v>27</v>
      </c>
      <c r="B22" s="45">
        <f>SUM(B23:B26)</f>
        <v>258000</v>
      </c>
      <c r="C22" s="45">
        <v>258000</v>
      </c>
      <c r="D22" s="45">
        <f>SUM(D23:D27)</f>
        <v>260630</v>
      </c>
      <c r="E22" s="35"/>
    </row>
    <row r="23" spans="1:5" ht="13.5" customHeight="1">
      <c r="A23" s="10" t="s">
        <v>28</v>
      </c>
      <c r="B23" s="45">
        <v>44000</v>
      </c>
      <c r="C23" s="40">
        <v>44000</v>
      </c>
      <c r="D23" s="40">
        <v>48500</v>
      </c>
      <c r="E23" s="37"/>
    </row>
    <row r="24" spans="1:5" ht="25.5">
      <c r="A24" s="11" t="s">
        <v>749</v>
      </c>
      <c r="B24" s="45">
        <v>132000</v>
      </c>
      <c r="C24" s="40">
        <v>132000</v>
      </c>
      <c r="D24" s="40">
        <v>138000</v>
      </c>
      <c r="E24" s="37"/>
    </row>
    <row r="25" spans="1:5" ht="15.75" customHeight="1">
      <c r="A25" s="10" t="s">
        <v>750</v>
      </c>
      <c r="B25" s="45">
        <v>27000</v>
      </c>
      <c r="C25" s="40">
        <v>27000</v>
      </c>
      <c r="D25" s="40">
        <v>23000</v>
      </c>
      <c r="E25" s="37"/>
    </row>
    <row r="26" spans="1:5" ht="17.25" customHeight="1">
      <c r="A26" s="10" t="s">
        <v>751</v>
      </c>
      <c r="B26" s="45">
        <v>55000</v>
      </c>
      <c r="C26" s="40">
        <v>55000</v>
      </c>
      <c r="D26" s="40">
        <v>50650</v>
      </c>
      <c r="E26" s="37"/>
    </row>
    <row r="27" spans="1:5" ht="17.25" customHeight="1">
      <c r="A27" s="10" t="s">
        <v>38</v>
      </c>
      <c r="B27" s="45"/>
      <c r="C27" s="40"/>
      <c r="D27" s="40">
        <v>480</v>
      </c>
      <c r="E27" s="37"/>
    </row>
    <row r="28" spans="1:5" ht="29.25" customHeight="1">
      <c r="A28" s="12" t="s">
        <v>770</v>
      </c>
      <c r="B28" s="44">
        <f>SUM(B29:B37)</f>
        <v>1110469</v>
      </c>
      <c r="C28" s="44">
        <f>SUM(C29:C43)</f>
        <v>1506589</v>
      </c>
      <c r="D28" s="44">
        <f>SUM(D29:D43)</f>
        <v>1658117</v>
      </c>
      <c r="E28" s="33"/>
    </row>
    <row r="29" spans="1:5" ht="25.5">
      <c r="A29" s="11" t="s">
        <v>783</v>
      </c>
      <c r="B29" s="45">
        <v>51316</v>
      </c>
      <c r="C29" s="40">
        <v>51316</v>
      </c>
      <c r="D29" s="40">
        <v>92790</v>
      </c>
      <c r="E29" s="37"/>
    </row>
    <row r="30" spans="1:5" ht="25.5">
      <c r="A30" s="11" t="s">
        <v>209</v>
      </c>
      <c r="B30" s="45">
        <v>1022384</v>
      </c>
      <c r="C30" s="40">
        <v>1003007</v>
      </c>
      <c r="D30" s="40">
        <v>1440875</v>
      </c>
      <c r="E30" s="37"/>
    </row>
    <row r="31" spans="1:5" ht="13.5" customHeight="1">
      <c r="A31" s="10" t="s">
        <v>292</v>
      </c>
      <c r="B31" s="45">
        <v>1965</v>
      </c>
      <c r="C31" s="40">
        <v>1965</v>
      </c>
      <c r="D31" s="40">
        <v>4760</v>
      </c>
      <c r="E31" s="37"/>
    </row>
    <row r="32" spans="1:5" ht="12.75">
      <c r="A32" s="11" t="s">
        <v>293</v>
      </c>
      <c r="B32" s="45">
        <v>34804</v>
      </c>
      <c r="C32" s="40">
        <v>33438</v>
      </c>
      <c r="D32" s="40">
        <v>72141</v>
      </c>
      <c r="E32" s="37"/>
    </row>
    <row r="33" spans="1:5" ht="12.75">
      <c r="A33" s="11" t="s">
        <v>390</v>
      </c>
      <c r="B33" s="45"/>
      <c r="C33" s="40"/>
      <c r="D33" s="40">
        <v>47551</v>
      </c>
      <c r="E33" s="37"/>
    </row>
    <row r="34" spans="1:5" ht="12.75">
      <c r="A34" s="11" t="s">
        <v>11</v>
      </c>
      <c r="B34" s="45"/>
      <c r="C34" s="40">
        <v>158505</v>
      </c>
      <c r="D34" s="40"/>
      <c r="E34" s="37"/>
    </row>
    <row r="35" spans="1:5" ht="25.5">
      <c r="A35" s="11" t="s">
        <v>771</v>
      </c>
      <c r="B35" s="45"/>
      <c r="C35" s="40">
        <v>2984</v>
      </c>
      <c r="D35" s="40"/>
      <c r="E35" s="37"/>
    </row>
    <row r="36" spans="1:5" ht="12.75">
      <c r="A36" s="11" t="s">
        <v>18</v>
      </c>
      <c r="B36" s="45"/>
      <c r="C36" s="40">
        <v>1192</v>
      </c>
      <c r="D36" s="40"/>
      <c r="E36" s="37"/>
    </row>
    <row r="37" spans="1:5" ht="12.75">
      <c r="A37" s="11" t="s">
        <v>438</v>
      </c>
      <c r="B37" s="45"/>
      <c r="C37" s="40">
        <v>2300</v>
      </c>
      <c r="D37" s="40"/>
      <c r="E37" s="37"/>
    </row>
    <row r="38" spans="1:5" ht="12.75">
      <c r="A38" s="11" t="s">
        <v>424</v>
      </c>
      <c r="B38" s="45"/>
      <c r="C38" s="40">
        <v>400</v>
      </c>
      <c r="D38" s="40"/>
      <c r="E38" s="37"/>
    </row>
    <row r="39" spans="1:5" ht="12.75">
      <c r="A39" s="11" t="s">
        <v>752</v>
      </c>
      <c r="B39" s="45"/>
      <c r="C39" s="40">
        <v>1946</v>
      </c>
      <c r="D39" s="40"/>
      <c r="E39" s="37"/>
    </row>
    <row r="40" spans="1:5" ht="12.75">
      <c r="A40" s="11" t="s">
        <v>16</v>
      </c>
      <c r="B40" s="45"/>
      <c r="C40" s="40">
        <v>3000</v>
      </c>
      <c r="D40" s="40"/>
      <c r="E40" s="37"/>
    </row>
    <row r="41" spans="1:5" ht="12.75">
      <c r="A41" s="11" t="s">
        <v>294</v>
      </c>
      <c r="B41" s="45"/>
      <c r="C41" s="40">
        <v>141</v>
      </c>
      <c r="D41" s="40"/>
      <c r="E41" s="37"/>
    </row>
    <row r="42" spans="1:5" ht="38.25">
      <c r="A42" s="11" t="s">
        <v>350</v>
      </c>
      <c r="B42" s="45"/>
      <c r="C42" s="40">
        <v>37100</v>
      </c>
      <c r="D42" s="40"/>
      <c r="E42" s="37"/>
    </row>
    <row r="43" spans="1:5" ht="25.5">
      <c r="A43" s="11" t="s">
        <v>290</v>
      </c>
      <c r="B43" s="45"/>
      <c r="C43" s="40">
        <v>209295</v>
      </c>
      <c r="D43" s="40"/>
      <c r="E43" s="37"/>
    </row>
    <row r="44" spans="1:5" s="3" customFormat="1" ht="12.75" customHeight="1">
      <c r="A44" s="12" t="s">
        <v>307</v>
      </c>
      <c r="B44" s="44">
        <f>SUM(B45+B64)</f>
        <v>174444</v>
      </c>
      <c r="C44" s="44">
        <f>SUM(C45+C64)</f>
        <v>352362</v>
      </c>
      <c r="D44" s="44">
        <f>SUM(D45+D64)</f>
        <v>36393</v>
      </c>
      <c r="E44" s="33"/>
    </row>
    <row r="45" spans="1:5" s="3" customFormat="1" ht="15.75" customHeight="1">
      <c r="A45" s="12" t="s">
        <v>308</v>
      </c>
      <c r="B45" s="44">
        <f>SUM(B46:B53)</f>
        <v>39920</v>
      </c>
      <c r="C45" s="44">
        <f>SUM(C46:C63)</f>
        <v>136965</v>
      </c>
      <c r="D45" s="44">
        <f>SUM(D46:D63)</f>
        <v>36393</v>
      </c>
      <c r="E45" s="33"/>
    </row>
    <row r="46" spans="1:5" ht="14.25" customHeight="1">
      <c r="A46" s="11" t="s">
        <v>309</v>
      </c>
      <c r="B46" s="45">
        <v>39920</v>
      </c>
      <c r="C46" s="40">
        <v>39920</v>
      </c>
      <c r="D46" s="40">
        <v>36393</v>
      </c>
      <c r="E46" s="37"/>
    </row>
    <row r="47" spans="1:5" ht="13.5" customHeight="1">
      <c r="A47" s="11" t="s">
        <v>760</v>
      </c>
      <c r="B47" s="45"/>
      <c r="C47" s="40">
        <v>2415</v>
      </c>
      <c r="D47" s="40"/>
      <c r="E47" s="37"/>
    </row>
    <row r="48" spans="1:5" ht="13.5" customHeight="1">
      <c r="A48" s="11" t="s">
        <v>761</v>
      </c>
      <c r="B48" s="45"/>
      <c r="C48" s="40">
        <v>7487</v>
      </c>
      <c r="D48" s="40"/>
      <c r="E48" s="37"/>
    </row>
    <row r="49" spans="1:5" ht="14.25" customHeight="1">
      <c r="A49" s="11" t="s">
        <v>762</v>
      </c>
      <c r="B49" s="45"/>
      <c r="C49" s="40">
        <v>45851</v>
      </c>
      <c r="D49" s="40"/>
      <c r="E49" s="37"/>
    </row>
    <row r="50" spans="1:5" ht="12.75" customHeight="1">
      <c r="A50" s="11" t="s">
        <v>763</v>
      </c>
      <c r="B50" s="45"/>
      <c r="C50" s="40">
        <v>49</v>
      </c>
      <c r="D50" s="40"/>
      <c r="E50" s="37"/>
    </row>
    <row r="51" spans="1:5" ht="14.25" customHeight="1">
      <c r="A51" s="11" t="s">
        <v>764</v>
      </c>
      <c r="B51" s="45"/>
      <c r="C51" s="40">
        <v>1702</v>
      </c>
      <c r="D51" s="40"/>
      <c r="E51" s="37"/>
    </row>
    <row r="52" spans="1:5" ht="13.5" customHeight="1">
      <c r="A52" s="11" t="s">
        <v>765</v>
      </c>
      <c r="B52" s="45"/>
      <c r="C52" s="40">
        <v>1832</v>
      </c>
      <c r="D52" s="40"/>
      <c r="E52" s="37"/>
    </row>
    <row r="53" spans="1:5" ht="12.75" customHeight="1">
      <c r="A53" s="11" t="s">
        <v>217</v>
      </c>
      <c r="B53" s="45"/>
      <c r="C53" s="40">
        <v>6722</v>
      </c>
      <c r="D53" s="40"/>
      <c r="E53" s="37"/>
    </row>
    <row r="54" spans="1:5" ht="12.75" customHeight="1">
      <c r="A54" s="11" t="s">
        <v>243</v>
      </c>
      <c r="B54" s="45"/>
      <c r="C54" s="40">
        <v>10262</v>
      </c>
      <c r="D54" s="40"/>
      <c r="E54" s="37"/>
    </row>
    <row r="55" spans="1:5" ht="12.75" customHeight="1">
      <c r="A55" s="11" t="s">
        <v>327</v>
      </c>
      <c r="B55" s="45"/>
      <c r="C55" s="40">
        <v>2593</v>
      </c>
      <c r="D55" s="40"/>
      <c r="E55" s="37"/>
    </row>
    <row r="56" spans="1:5" ht="13.5" customHeight="1">
      <c r="A56" s="11" t="s">
        <v>328</v>
      </c>
      <c r="B56" s="45"/>
      <c r="C56" s="40">
        <v>222</v>
      </c>
      <c r="D56" s="40"/>
      <c r="E56" s="37"/>
    </row>
    <row r="57" spans="1:5" ht="12.75" customHeight="1">
      <c r="A57" s="11" t="s">
        <v>329</v>
      </c>
      <c r="B57" s="45"/>
      <c r="C57" s="40">
        <v>115</v>
      </c>
      <c r="D57" s="40"/>
      <c r="E57" s="37"/>
    </row>
    <row r="58" spans="1:5" ht="12.75" customHeight="1">
      <c r="A58" s="11" t="s">
        <v>342</v>
      </c>
      <c r="B58" s="45"/>
      <c r="C58" s="40">
        <v>4922</v>
      </c>
      <c r="D58" s="40"/>
      <c r="E58" s="37"/>
    </row>
    <row r="59" spans="1:5" ht="12.75" customHeight="1">
      <c r="A59" s="11" t="s">
        <v>22</v>
      </c>
      <c r="B59" s="45"/>
      <c r="C59" s="40">
        <v>280</v>
      </c>
      <c r="D59" s="40"/>
      <c r="E59" s="37"/>
    </row>
    <row r="60" spans="1:5" ht="12.75" customHeight="1">
      <c r="A60" s="11" t="s">
        <v>757</v>
      </c>
      <c r="B60" s="45"/>
      <c r="C60" s="40">
        <v>1260</v>
      </c>
      <c r="D60" s="40"/>
      <c r="E60" s="37"/>
    </row>
    <row r="61" spans="1:5" ht="12.75" customHeight="1">
      <c r="A61" s="11" t="s">
        <v>66</v>
      </c>
      <c r="B61" s="45"/>
      <c r="C61" s="40">
        <v>405</v>
      </c>
      <c r="D61" s="40"/>
      <c r="E61" s="37"/>
    </row>
    <row r="62" spans="1:5" ht="12.75" customHeight="1">
      <c r="A62" s="11" t="s">
        <v>67</v>
      </c>
      <c r="B62" s="45"/>
      <c r="C62" s="40">
        <v>7842</v>
      </c>
      <c r="D62" s="40"/>
      <c r="E62" s="37"/>
    </row>
    <row r="63" spans="1:5" ht="12.75" customHeight="1">
      <c r="A63" s="11" t="s">
        <v>289</v>
      </c>
      <c r="B63" s="45"/>
      <c r="C63" s="40">
        <v>3086</v>
      </c>
      <c r="D63" s="40"/>
      <c r="E63" s="37"/>
    </row>
    <row r="64" spans="1:5" s="3" customFormat="1" ht="13.5" customHeight="1">
      <c r="A64" s="7" t="s">
        <v>726</v>
      </c>
      <c r="B64" s="44">
        <f>SUM(B65:B67)</f>
        <v>134524</v>
      </c>
      <c r="C64" s="44">
        <f>SUM(C65:C72)</f>
        <v>215397</v>
      </c>
      <c r="D64" s="44">
        <f>SUM(D65:D72)</f>
        <v>0</v>
      </c>
      <c r="E64" s="33"/>
    </row>
    <row r="65" spans="1:5" ht="12.75">
      <c r="A65" s="11" t="s">
        <v>727</v>
      </c>
      <c r="B65" s="45">
        <v>134524</v>
      </c>
      <c r="C65" s="40">
        <v>134524</v>
      </c>
      <c r="D65" s="40"/>
      <c r="E65" s="37"/>
    </row>
    <row r="66" spans="1:5" ht="25.5">
      <c r="A66" s="11" t="s">
        <v>316</v>
      </c>
      <c r="B66" s="45"/>
      <c r="C66" s="40">
        <v>0</v>
      </c>
      <c r="D66" s="40"/>
      <c r="E66" s="37"/>
    </row>
    <row r="67" spans="1:5" ht="25.5">
      <c r="A67" s="11" t="s">
        <v>772</v>
      </c>
      <c r="B67" s="45"/>
      <c r="C67" s="40">
        <v>675</v>
      </c>
      <c r="D67" s="40"/>
      <c r="E67" s="37"/>
    </row>
    <row r="68" spans="1:5" ht="25.5">
      <c r="A68" s="11" t="s">
        <v>773</v>
      </c>
      <c r="B68" s="45"/>
      <c r="C68" s="40">
        <v>7988</v>
      </c>
      <c r="D68" s="40"/>
      <c r="E68" s="37"/>
    </row>
    <row r="69" spans="1:5" ht="25.5">
      <c r="A69" s="11" t="s">
        <v>39</v>
      </c>
      <c r="B69" s="45"/>
      <c r="C69" s="40">
        <v>500</v>
      </c>
      <c r="D69" s="40"/>
      <c r="E69" s="37"/>
    </row>
    <row r="70" spans="1:5" ht="12.75">
      <c r="A70" s="11" t="s">
        <v>32</v>
      </c>
      <c r="B70" s="45"/>
      <c r="C70" s="40">
        <v>34059</v>
      </c>
      <c r="D70" s="40"/>
      <c r="E70" s="37"/>
    </row>
    <row r="71" spans="1:5" ht="12.75">
      <c r="A71" s="11" t="s">
        <v>341</v>
      </c>
      <c r="B71" s="45"/>
      <c r="C71" s="40">
        <v>23078</v>
      </c>
      <c r="D71" s="40"/>
      <c r="E71" s="37"/>
    </row>
    <row r="72" spans="1:5" ht="12.75">
      <c r="A72" s="11" t="s">
        <v>64</v>
      </c>
      <c r="B72" s="45"/>
      <c r="C72" s="40">
        <v>14573</v>
      </c>
      <c r="D72" s="40"/>
      <c r="E72" s="37"/>
    </row>
    <row r="73" spans="1:5" s="3" customFormat="1" ht="13.5" customHeight="1">
      <c r="A73" s="7" t="s">
        <v>33</v>
      </c>
      <c r="B73" s="48">
        <f>B74+B78</f>
        <v>0</v>
      </c>
      <c r="C73" s="48">
        <f>C74+C78</f>
        <v>9184</v>
      </c>
      <c r="D73" s="48">
        <f>D74+D78</f>
        <v>0</v>
      </c>
      <c r="E73" s="38"/>
    </row>
    <row r="74" spans="1:5" s="3" customFormat="1" ht="13.5" customHeight="1">
      <c r="A74" s="7" t="s">
        <v>34</v>
      </c>
      <c r="B74" s="77">
        <f>SUM(B75)</f>
        <v>0</v>
      </c>
      <c r="C74" s="77">
        <f>SUM(C75:C77)</f>
        <v>9184</v>
      </c>
      <c r="D74" s="77">
        <f>SUM(D75:D77)</f>
        <v>0</v>
      </c>
      <c r="E74" s="38"/>
    </row>
    <row r="75" spans="1:5" s="3" customFormat="1" ht="13.5" customHeight="1">
      <c r="A75" s="9" t="s">
        <v>349</v>
      </c>
      <c r="B75" s="50"/>
      <c r="C75" s="49">
        <v>8184</v>
      </c>
      <c r="D75" s="49"/>
      <c r="E75" s="38"/>
    </row>
    <row r="76" spans="1:5" s="3" customFormat="1" ht="13.5" customHeight="1">
      <c r="A76" s="9" t="s">
        <v>723</v>
      </c>
      <c r="B76" s="50"/>
      <c r="C76" s="49">
        <v>400</v>
      </c>
      <c r="D76" s="49"/>
      <c r="E76" s="38"/>
    </row>
    <row r="77" spans="1:5" s="3" customFormat="1" ht="29.25" customHeight="1">
      <c r="A77" s="78" t="s">
        <v>410</v>
      </c>
      <c r="B77" s="50"/>
      <c r="C77" s="49">
        <v>600</v>
      </c>
      <c r="D77" s="49"/>
      <c r="E77" s="38"/>
    </row>
    <row r="78" spans="1:5" s="4" customFormat="1" ht="13.5" customHeight="1">
      <c r="A78" s="7" t="s">
        <v>411</v>
      </c>
      <c r="B78" s="48"/>
      <c r="C78" s="49">
        <v>0</v>
      </c>
      <c r="D78" s="49"/>
      <c r="E78" s="38"/>
    </row>
    <row r="79" spans="1:5" s="3" customFormat="1" ht="14.25" customHeight="1">
      <c r="A79" s="7" t="s">
        <v>12</v>
      </c>
      <c r="B79" s="44">
        <f>SUM(B80:B81)</f>
        <v>48240</v>
      </c>
      <c r="C79" s="44">
        <v>49740</v>
      </c>
      <c r="D79" s="44">
        <f>SUM(D80:D82)</f>
        <v>48000</v>
      </c>
      <c r="E79" s="33"/>
    </row>
    <row r="80" spans="1:5" ht="26.25" customHeight="1">
      <c r="A80" s="11" t="s">
        <v>29</v>
      </c>
      <c r="B80" s="45">
        <v>40000</v>
      </c>
      <c r="C80" s="40">
        <v>40000</v>
      </c>
      <c r="D80" s="40">
        <v>33000</v>
      </c>
      <c r="E80" s="37"/>
    </row>
    <row r="81" spans="1:5" ht="28.5" customHeight="1">
      <c r="A81" s="11" t="s">
        <v>408</v>
      </c>
      <c r="B81" s="45">
        <v>8240</v>
      </c>
      <c r="C81" s="40">
        <v>8240</v>
      </c>
      <c r="D81" s="40">
        <v>15000</v>
      </c>
      <c r="E81" s="37"/>
    </row>
    <row r="82" spans="1:5" ht="28.5" customHeight="1">
      <c r="A82" s="11" t="s">
        <v>13</v>
      </c>
      <c r="B82" s="45"/>
      <c r="C82" s="40">
        <v>1500</v>
      </c>
      <c r="D82" s="40"/>
      <c r="E82" s="37"/>
    </row>
    <row r="83" spans="1:5" s="4" customFormat="1" ht="13.5" customHeight="1">
      <c r="A83" s="12" t="s">
        <v>409</v>
      </c>
      <c r="B83" s="44">
        <f>SUM(B84:B86)</f>
        <v>235000</v>
      </c>
      <c r="C83" s="44">
        <f>SUM(C84:C90)</f>
        <v>251161</v>
      </c>
      <c r="D83" s="44">
        <f>SUM(D84:D90)</f>
        <v>356300</v>
      </c>
      <c r="E83" s="33"/>
    </row>
    <row r="84" spans="1:5" ht="13.5" customHeight="1">
      <c r="A84" s="10" t="s">
        <v>23</v>
      </c>
      <c r="B84" s="45">
        <v>180000</v>
      </c>
      <c r="C84" s="40">
        <v>180000</v>
      </c>
      <c r="D84" s="40">
        <v>303300</v>
      </c>
      <c r="E84" s="37"/>
    </row>
    <row r="85" spans="1:5" ht="12.75" customHeight="1">
      <c r="A85" s="10" t="s">
        <v>24</v>
      </c>
      <c r="B85" s="45">
        <v>50000</v>
      </c>
      <c r="C85" s="40">
        <v>50000</v>
      </c>
      <c r="D85" s="40">
        <v>50000</v>
      </c>
      <c r="E85" s="37"/>
    </row>
    <row r="86" spans="1:5" ht="13.5" customHeight="1">
      <c r="A86" s="10" t="s">
        <v>443</v>
      </c>
      <c r="B86" s="45">
        <v>5000</v>
      </c>
      <c r="C86" s="40">
        <v>5000</v>
      </c>
      <c r="D86" s="40">
        <v>3000</v>
      </c>
      <c r="E86" s="37"/>
    </row>
    <row r="87" spans="1:5" ht="13.5" customHeight="1">
      <c r="A87" s="10" t="s">
        <v>444</v>
      </c>
      <c r="B87" s="45"/>
      <c r="C87" s="40">
        <v>10457</v>
      </c>
      <c r="D87" s="40"/>
      <c r="E87" s="37"/>
    </row>
    <row r="88" spans="1:5" ht="13.5" customHeight="1">
      <c r="A88" s="10" t="s">
        <v>445</v>
      </c>
      <c r="B88" s="45"/>
      <c r="C88" s="40">
        <v>2080</v>
      </c>
      <c r="D88" s="40"/>
      <c r="E88" s="37"/>
    </row>
    <row r="89" spans="1:5" ht="13.5" customHeight="1">
      <c r="A89" s="10" t="s">
        <v>68</v>
      </c>
      <c r="B89" s="45"/>
      <c r="C89" s="40">
        <v>524</v>
      </c>
      <c r="D89" s="40"/>
      <c r="E89" s="37"/>
    </row>
    <row r="90" spans="1:5" ht="13.5" customHeight="1">
      <c r="A90" s="10" t="s">
        <v>69</v>
      </c>
      <c r="B90" s="45"/>
      <c r="C90" s="40">
        <v>3100</v>
      </c>
      <c r="D90" s="40"/>
      <c r="E90" s="37"/>
    </row>
    <row r="91" spans="1:5" s="3" customFormat="1" ht="13.5" customHeight="1">
      <c r="A91" s="7" t="s">
        <v>676</v>
      </c>
      <c r="B91" s="44">
        <f>B92+B93</f>
        <v>69875</v>
      </c>
      <c r="C91" s="44">
        <f>C92+C93</f>
        <v>70395</v>
      </c>
      <c r="D91" s="44">
        <f>D92+D93</f>
        <v>58000</v>
      </c>
      <c r="E91" s="33"/>
    </row>
    <row r="92" spans="1:5" ht="13.5" customHeight="1">
      <c r="A92" s="11" t="s">
        <v>736</v>
      </c>
      <c r="B92" s="45">
        <v>54875</v>
      </c>
      <c r="C92" s="40">
        <v>54875</v>
      </c>
      <c r="D92" s="40">
        <v>20000</v>
      </c>
      <c r="E92" s="37"/>
    </row>
    <row r="93" spans="1:5" ht="25.5">
      <c r="A93" s="11" t="s">
        <v>737</v>
      </c>
      <c r="B93" s="45">
        <v>15000</v>
      </c>
      <c r="C93" s="40">
        <v>15520</v>
      </c>
      <c r="D93" s="40">
        <v>38000</v>
      </c>
      <c r="E93" s="37"/>
    </row>
    <row r="94" spans="1:5" s="2" customFormat="1" ht="18.75" customHeight="1">
      <c r="A94" s="57" t="s">
        <v>738</v>
      </c>
      <c r="B94" s="41"/>
      <c r="C94" s="41">
        <v>857221</v>
      </c>
      <c r="D94" s="41">
        <f>SUM(D95:D96)</f>
        <v>0</v>
      </c>
      <c r="E94" s="33"/>
    </row>
    <row r="95" spans="1:5" s="2" customFormat="1" ht="12.75">
      <c r="A95" s="2" t="s">
        <v>739</v>
      </c>
      <c r="B95" s="44"/>
      <c r="C95" s="44">
        <v>727788</v>
      </c>
      <c r="D95" s="75"/>
      <c r="E95" s="33"/>
    </row>
    <row r="96" spans="1:5" s="2" customFormat="1" ht="12.75">
      <c r="A96" s="2" t="s">
        <v>740</v>
      </c>
      <c r="B96" s="42"/>
      <c r="C96" s="42">
        <v>129433</v>
      </c>
      <c r="D96" s="76"/>
      <c r="E96" s="33"/>
    </row>
    <row r="97" spans="1:5" s="2" customFormat="1" ht="12.75">
      <c r="A97" s="8" t="s">
        <v>741</v>
      </c>
      <c r="B97" s="41">
        <f>B2+B13+B28+B44+B73+B79+B83+B91+B94</f>
        <v>5577858</v>
      </c>
      <c r="C97" s="41">
        <f>C2+C13+C28+C44+C73+C79+C83+C91+C94</f>
        <v>7124005</v>
      </c>
      <c r="D97" s="41">
        <f>D2+D13+D28+D44+D73+D79+D83+D91+D94</f>
        <v>6608458</v>
      </c>
      <c r="E97" s="33"/>
    </row>
    <row r="98" spans="1:5" s="3" customFormat="1" ht="12.75">
      <c r="A98" s="8" t="s">
        <v>694</v>
      </c>
      <c r="B98" s="41">
        <f>SUM(B99:B100)</f>
        <v>839802</v>
      </c>
      <c r="C98" s="41">
        <v>587090</v>
      </c>
      <c r="D98" s="41">
        <f>SUM(D99:D100)</f>
        <v>510000</v>
      </c>
      <c r="E98" s="33"/>
    </row>
    <row r="99" spans="1:5" s="1" customFormat="1" ht="12.75">
      <c r="A99" s="51" t="s">
        <v>774</v>
      </c>
      <c r="B99" s="53">
        <v>567843</v>
      </c>
      <c r="C99" s="55">
        <v>556648</v>
      </c>
      <c r="D99" s="52">
        <v>460000</v>
      </c>
      <c r="E99" s="37"/>
    </row>
    <row r="100" spans="1:5" s="1" customFormat="1" ht="12.75">
      <c r="A100" s="51" t="s">
        <v>775</v>
      </c>
      <c r="B100" s="54">
        <v>271959</v>
      </c>
      <c r="C100" s="56">
        <v>30442</v>
      </c>
      <c r="D100" s="52">
        <v>50000</v>
      </c>
      <c r="E100" s="37"/>
    </row>
    <row r="101" spans="1:5" s="3" customFormat="1" ht="24" customHeight="1">
      <c r="A101" s="8" t="s">
        <v>776</v>
      </c>
      <c r="B101" s="41">
        <f>B97+B98</f>
        <v>6417660</v>
      </c>
      <c r="C101" s="41">
        <f>C97+C98</f>
        <v>7711095</v>
      </c>
      <c r="D101" s="41">
        <f>D97+D98</f>
        <v>7118458</v>
      </c>
      <c r="E101" s="33"/>
    </row>
  </sheetData>
  <sheetProtection/>
  <printOptions gridLines="1" headings="1"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&amp;L         
                &amp;"MS Sans Serif,Félkövér" &amp;CPESTERZSÉBET ÖNKORMÁNYZATÁNAK
2003. ÉVI TERVEZETT BEVÉTELEI (eFt)&amp;R1/a. sz. melléklet
</oddHeader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3">
    <pageSetUpPr fitToPage="1"/>
  </sheetPr>
  <dimension ref="A1:P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0.421875" style="0" customWidth="1"/>
    <col min="2" max="2" width="36.7109375" style="0" customWidth="1"/>
    <col min="3" max="3" width="32.28125" style="0" customWidth="1"/>
    <col min="4" max="13" width="19.7109375" style="0" customWidth="1"/>
  </cols>
  <sheetData>
    <row r="1" spans="1:16" s="1114" customFormat="1" ht="48" thickBot="1">
      <c r="A1" s="1110" t="s">
        <v>1224</v>
      </c>
      <c r="B1" s="1111" t="s">
        <v>1225</v>
      </c>
      <c r="C1" s="1111" t="s">
        <v>1226</v>
      </c>
      <c r="D1" s="1111" t="s">
        <v>1227</v>
      </c>
      <c r="E1" s="1111" t="s">
        <v>1228</v>
      </c>
      <c r="F1" s="1111" t="s">
        <v>1229</v>
      </c>
      <c r="G1" s="1111" t="s">
        <v>1230</v>
      </c>
      <c r="H1" s="1111" t="s">
        <v>1231</v>
      </c>
      <c r="I1" s="1111" t="s">
        <v>1232</v>
      </c>
      <c r="J1" s="1111" t="s">
        <v>1233</v>
      </c>
      <c r="K1" s="1111" t="s">
        <v>1234</v>
      </c>
      <c r="L1" s="1111" t="s">
        <v>1235</v>
      </c>
      <c r="M1" s="1112" t="s">
        <v>1236</v>
      </c>
      <c r="N1" s="1113"/>
      <c r="O1" s="1113"/>
      <c r="P1" s="1113"/>
    </row>
    <row r="2" spans="1:13" ht="110.25">
      <c r="A2" s="1115" t="s">
        <v>1047</v>
      </c>
      <c r="B2" s="1115" t="s">
        <v>1044</v>
      </c>
      <c r="C2" s="1115" t="s">
        <v>1237</v>
      </c>
      <c r="D2" s="1115" t="s">
        <v>1045</v>
      </c>
      <c r="E2" s="1117" t="s">
        <v>1046</v>
      </c>
      <c r="F2" s="1119">
        <v>1</v>
      </c>
      <c r="G2" s="1117">
        <v>0</v>
      </c>
      <c r="H2" s="1117" t="s">
        <v>1048</v>
      </c>
      <c r="I2" s="1117">
        <v>0</v>
      </c>
      <c r="J2" s="1117">
        <v>12100000</v>
      </c>
      <c r="K2" s="1117">
        <v>0</v>
      </c>
      <c r="L2" s="1117">
        <v>0</v>
      </c>
      <c r="M2" s="1117">
        <v>0</v>
      </c>
    </row>
    <row r="3" spans="1:13" ht="49.5" customHeight="1">
      <c r="A3" s="1116"/>
      <c r="B3" s="1116"/>
      <c r="C3" s="1116"/>
      <c r="D3" s="1116"/>
      <c r="E3" s="1118"/>
      <c r="F3" s="1118"/>
      <c r="G3" s="1118"/>
      <c r="H3" s="1118"/>
      <c r="I3" s="1118"/>
      <c r="J3" s="1118"/>
      <c r="K3" s="1118"/>
      <c r="L3" s="1118"/>
      <c r="M3" s="1118"/>
    </row>
    <row r="4" spans="1:13" ht="49.5" customHeight="1">
      <c r="A4" s="1116"/>
      <c r="B4" s="1116"/>
      <c r="C4" s="1116"/>
      <c r="D4" s="1116"/>
      <c r="E4" s="1118"/>
      <c r="F4" s="1118"/>
      <c r="G4" s="1118"/>
      <c r="H4" s="1118"/>
      <c r="I4" s="1118"/>
      <c r="J4" s="1118"/>
      <c r="K4" s="1118"/>
      <c r="L4" s="1118"/>
      <c r="M4" s="1118"/>
    </row>
    <row r="5" spans="1:13" ht="49.5" customHeight="1">
      <c r="A5" s="1116"/>
      <c r="B5" s="1116"/>
      <c r="C5" s="1116"/>
      <c r="D5" s="1116"/>
      <c r="E5" s="1118"/>
      <c r="F5" s="1118"/>
      <c r="G5" s="1118"/>
      <c r="H5" s="1118"/>
      <c r="I5" s="1118"/>
      <c r="J5" s="1118"/>
      <c r="K5" s="1118"/>
      <c r="L5" s="1118"/>
      <c r="M5" s="1118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orientation="landscape" paperSize="9" scale="44" r:id="rId1"/>
  <headerFooter alignWithMargins="0">
    <oddHeader>&amp;C&amp;"Times New Roman,Normál"&amp;12 2017. évre tervezett EU-s társfinanszírozással megvalósuló programok
(Ft-ban)&amp;R&amp;"Times New Roman,Normál"&amp;12 1.4. sz. melléklet</oddHeader>
  </headerFooter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48.57421875" style="0" customWidth="1"/>
    <col min="2" max="2" width="11.28125" style="0" bestFit="1" customWidth="1"/>
    <col min="3" max="14" width="11.28125" style="0" customWidth="1"/>
  </cols>
  <sheetData>
    <row r="1" spans="1:14" ht="26.25" thickBot="1">
      <c r="A1" s="1066" t="s">
        <v>728</v>
      </c>
      <c r="B1" s="283" t="s">
        <v>1238</v>
      </c>
      <c r="C1" s="308" t="s">
        <v>1239</v>
      </c>
      <c r="D1" s="283" t="s">
        <v>1240</v>
      </c>
      <c r="E1" s="283" t="s">
        <v>1241</v>
      </c>
      <c r="F1" s="283" t="s">
        <v>1242</v>
      </c>
      <c r="G1" s="441" t="s">
        <v>1243</v>
      </c>
      <c r="H1" s="283" t="s">
        <v>1244</v>
      </c>
      <c r="I1" s="283" t="s">
        <v>1245</v>
      </c>
      <c r="J1" s="283" t="s">
        <v>1246</v>
      </c>
      <c r="K1" s="283" t="s">
        <v>1247</v>
      </c>
      <c r="L1" s="283" t="s">
        <v>1248</v>
      </c>
      <c r="M1" s="283" t="s">
        <v>1249</v>
      </c>
      <c r="N1" s="283" t="s">
        <v>1250</v>
      </c>
    </row>
    <row r="2" spans="1:14" ht="27" customHeight="1">
      <c r="A2" s="1100" t="s">
        <v>996</v>
      </c>
      <c r="B2" s="443">
        <v>321</v>
      </c>
      <c r="C2" s="442">
        <v>322</v>
      </c>
      <c r="D2" s="443">
        <v>322</v>
      </c>
      <c r="E2" s="442">
        <v>322</v>
      </c>
      <c r="F2" s="443">
        <v>322</v>
      </c>
      <c r="G2" s="442">
        <v>322</v>
      </c>
      <c r="H2" s="443">
        <v>322</v>
      </c>
      <c r="I2" s="443">
        <v>322</v>
      </c>
      <c r="J2" s="443">
        <v>322</v>
      </c>
      <c r="K2" s="443">
        <v>322</v>
      </c>
      <c r="L2" s="443">
        <v>322</v>
      </c>
      <c r="M2" s="443">
        <v>322</v>
      </c>
      <c r="N2" s="443">
        <v>322</v>
      </c>
    </row>
    <row r="3" spans="1:14" ht="27" customHeight="1">
      <c r="A3" s="1724" t="s">
        <v>1207</v>
      </c>
      <c r="B3" s="444">
        <v>16</v>
      </c>
      <c r="C3" s="286">
        <v>16</v>
      </c>
      <c r="D3" s="285">
        <v>16</v>
      </c>
      <c r="E3" s="286">
        <v>16</v>
      </c>
      <c r="F3" s="285">
        <v>16</v>
      </c>
      <c r="G3" s="445">
        <v>16</v>
      </c>
      <c r="H3" s="444">
        <v>16</v>
      </c>
      <c r="I3" s="444">
        <v>16</v>
      </c>
      <c r="J3" s="444">
        <v>16</v>
      </c>
      <c r="K3" s="444">
        <v>16</v>
      </c>
      <c r="L3" s="444">
        <v>16</v>
      </c>
      <c r="M3" s="444">
        <v>16</v>
      </c>
      <c r="N3" s="444">
        <v>16</v>
      </c>
    </row>
    <row r="4" spans="1:14" ht="27" customHeight="1">
      <c r="A4" s="284" t="s">
        <v>729</v>
      </c>
      <c r="B4" s="285">
        <v>24</v>
      </c>
      <c r="C4" s="286">
        <v>24</v>
      </c>
      <c r="D4" s="285">
        <v>24</v>
      </c>
      <c r="E4" s="286">
        <v>25</v>
      </c>
      <c r="F4" s="285">
        <v>25</v>
      </c>
      <c r="G4" s="286">
        <v>25</v>
      </c>
      <c r="H4" s="285">
        <v>25</v>
      </c>
      <c r="I4" s="285">
        <v>25</v>
      </c>
      <c r="J4" s="285">
        <v>25</v>
      </c>
      <c r="K4" s="285">
        <v>25</v>
      </c>
      <c r="L4" s="285">
        <v>25</v>
      </c>
      <c r="M4" s="285">
        <v>25</v>
      </c>
      <c r="N4" s="285">
        <v>25</v>
      </c>
    </row>
    <row r="5" spans="1:14" ht="27" customHeight="1">
      <c r="A5" s="284" t="s">
        <v>997</v>
      </c>
      <c r="B5" s="285">
        <v>13</v>
      </c>
      <c r="C5" s="286">
        <v>13</v>
      </c>
      <c r="D5" s="285">
        <v>13</v>
      </c>
      <c r="E5" s="286">
        <v>13</v>
      </c>
      <c r="F5" s="285">
        <v>13</v>
      </c>
      <c r="G5" s="286">
        <v>13</v>
      </c>
      <c r="H5" s="285">
        <v>13</v>
      </c>
      <c r="I5" s="285">
        <v>13</v>
      </c>
      <c r="J5" s="285">
        <v>13</v>
      </c>
      <c r="K5" s="285">
        <v>13</v>
      </c>
      <c r="L5" s="285">
        <v>13</v>
      </c>
      <c r="M5" s="285">
        <v>13</v>
      </c>
      <c r="N5" s="285">
        <v>13</v>
      </c>
    </row>
    <row r="6" spans="1:14" ht="27" customHeight="1">
      <c r="A6" s="284" t="s">
        <v>998</v>
      </c>
      <c r="B6" s="285">
        <v>35</v>
      </c>
      <c r="C6" s="286">
        <v>35</v>
      </c>
      <c r="D6" s="285">
        <v>35</v>
      </c>
      <c r="E6" s="286">
        <v>35</v>
      </c>
      <c r="F6" s="285">
        <v>35</v>
      </c>
      <c r="G6" s="286">
        <v>35</v>
      </c>
      <c r="H6" s="285">
        <v>35</v>
      </c>
      <c r="I6" s="285">
        <v>35</v>
      </c>
      <c r="J6" s="285">
        <v>35</v>
      </c>
      <c r="K6" s="285">
        <v>35</v>
      </c>
      <c r="L6" s="285">
        <v>35</v>
      </c>
      <c r="M6" s="285">
        <v>35</v>
      </c>
      <c r="N6" s="285">
        <v>35</v>
      </c>
    </row>
    <row r="7" spans="1:14" ht="27" customHeight="1">
      <c r="A7" s="284" t="s">
        <v>999</v>
      </c>
      <c r="B7" s="285">
        <v>60</v>
      </c>
      <c r="C7" s="286">
        <v>60</v>
      </c>
      <c r="D7" s="285">
        <v>60</v>
      </c>
      <c r="E7" s="286">
        <v>60</v>
      </c>
      <c r="F7" s="285">
        <v>60</v>
      </c>
      <c r="G7" s="286">
        <v>60</v>
      </c>
      <c r="H7" s="285">
        <v>60</v>
      </c>
      <c r="I7" s="285">
        <v>60</v>
      </c>
      <c r="J7" s="285">
        <v>60</v>
      </c>
      <c r="K7" s="285">
        <v>60</v>
      </c>
      <c r="L7" s="285">
        <v>60</v>
      </c>
      <c r="M7" s="285">
        <v>60</v>
      </c>
      <c r="N7" s="285">
        <v>60</v>
      </c>
    </row>
    <row r="8" spans="1:14" ht="27" customHeight="1">
      <c r="A8" s="284" t="s">
        <v>1000</v>
      </c>
      <c r="B8" s="285">
        <v>56</v>
      </c>
      <c r="C8" s="286">
        <v>56</v>
      </c>
      <c r="D8" s="285">
        <v>56</v>
      </c>
      <c r="E8" s="286">
        <v>56</v>
      </c>
      <c r="F8" s="285">
        <v>56</v>
      </c>
      <c r="G8" s="286">
        <v>56</v>
      </c>
      <c r="H8" s="285">
        <v>56</v>
      </c>
      <c r="I8" s="285">
        <v>56</v>
      </c>
      <c r="J8" s="285">
        <v>56</v>
      </c>
      <c r="K8" s="285">
        <v>56</v>
      </c>
      <c r="L8" s="285">
        <v>56</v>
      </c>
      <c r="M8" s="285">
        <v>56</v>
      </c>
      <c r="N8" s="285">
        <v>56</v>
      </c>
    </row>
    <row r="9" spans="1:14" ht="27" customHeight="1">
      <c r="A9" s="284" t="s">
        <v>1001</v>
      </c>
      <c r="B9" s="285">
        <v>83</v>
      </c>
      <c r="C9" s="286">
        <v>83</v>
      </c>
      <c r="D9" s="285">
        <v>83</v>
      </c>
      <c r="E9" s="286">
        <v>83</v>
      </c>
      <c r="F9" s="285">
        <v>83</v>
      </c>
      <c r="G9" s="286">
        <v>83</v>
      </c>
      <c r="H9" s="285">
        <v>83</v>
      </c>
      <c r="I9" s="285">
        <v>83</v>
      </c>
      <c r="J9" s="285">
        <v>83</v>
      </c>
      <c r="K9" s="285">
        <v>83</v>
      </c>
      <c r="L9" s="285">
        <v>83</v>
      </c>
      <c r="M9" s="285">
        <v>83</v>
      </c>
      <c r="N9" s="285">
        <v>83</v>
      </c>
    </row>
    <row r="10" spans="1:14" ht="27" customHeight="1">
      <c r="A10" s="284" t="s">
        <v>1002</v>
      </c>
      <c r="B10" s="285">
        <v>62</v>
      </c>
      <c r="C10" s="286">
        <v>62</v>
      </c>
      <c r="D10" s="285">
        <v>62</v>
      </c>
      <c r="E10" s="286">
        <v>62</v>
      </c>
      <c r="F10" s="285">
        <v>62</v>
      </c>
      <c r="G10" s="286">
        <v>62</v>
      </c>
      <c r="H10" s="285">
        <v>62</v>
      </c>
      <c r="I10" s="285">
        <v>62</v>
      </c>
      <c r="J10" s="285">
        <v>62</v>
      </c>
      <c r="K10" s="285">
        <v>62</v>
      </c>
      <c r="L10" s="285">
        <v>62</v>
      </c>
      <c r="M10" s="285">
        <v>62</v>
      </c>
      <c r="N10" s="285">
        <v>62</v>
      </c>
    </row>
    <row r="11" spans="1:14" ht="27" customHeight="1">
      <c r="A11" s="284" t="s">
        <v>1003</v>
      </c>
      <c r="B11" s="285">
        <v>49</v>
      </c>
      <c r="C11" s="286">
        <v>49</v>
      </c>
      <c r="D11" s="285">
        <v>49</v>
      </c>
      <c r="E11" s="286">
        <v>49</v>
      </c>
      <c r="F11" s="285">
        <v>49</v>
      </c>
      <c r="G11" s="286">
        <v>49</v>
      </c>
      <c r="H11" s="285">
        <v>49</v>
      </c>
      <c r="I11" s="285">
        <v>49</v>
      </c>
      <c r="J11" s="285">
        <v>49</v>
      </c>
      <c r="K11" s="285">
        <v>49</v>
      </c>
      <c r="L11" s="285">
        <v>49</v>
      </c>
      <c r="M11" s="285">
        <v>49</v>
      </c>
      <c r="N11" s="285">
        <v>49</v>
      </c>
    </row>
    <row r="12" spans="1:14" ht="27" customHeight="1" thickBot="1">
      <c r="A12" s="1067" t="s">
        <v>1004</v>
      </c>
      <c r="B12" s="446">
        <v>133</v>
      </c>
      <c r="C12" s="1521">
        <v>69</v>
      </c>
      <c r="D12" s="1521">
        <v>69</v>
      </c>
      <c r="E12" s="447">
        <v>69</v>
      </c>
      <c r="F12" s="448">
        <v>68</v>
      </c>
      <c r="G12" s="448">
        <v>68</v>
      </c>
      <c r="H12" s="448">
        <v>68</v>
      </c>
      <c r="I12" s="448">
        <v>68</v>
      </c>
      <c r="J12" s="448">
        <v>68</v>
      </c>
      <c r="K12" s="446">
        <v>67</v>
      </c>
      <c r="L12" s="446">
        <v>67</v>
      </c>
      <c r="M12" s="446">
        <v>67</v>
      </c>
      <c r="N12" s="446">
        <v>67</v>
      </c>
    </row>
    <row r="13" spans="1:14" ht="27" customHeight="1" thickBot="1">
      <c r="A13" s="1068" t="s">
        <v>70</v>
      </c>
      <c r="B13" s="449">
        <f aca="true" t="shared" si="0" ref="B13:N13">SUM(B2:B12)</f>
        <v>852</v>
      </c>
      <c r="C13" s="356">
        <f t="shared" si="0"/>
        <v>789</v>
      </c>
      <c r="D13" s="450">
        <f t="shared" si="0"/>
        <v>789</v>
      </c>
      <c r="E13" s="450">
        <f t="shared" si="0"/>
        <v>790</v>
      </c>
      <c r="F13" s="450">
        <f t="shared" si="0"/>
        <v>789</v>
      </c>
      <c r="G13" s="451">
        <f t="shared" si="0"/>
        <v>789</v>
      </c>
      <c r="H13" s="449">
        <f t="shared" si="0"/>
        <v>789</v>
      </c>
      <c r="I13" s="449">
        <f t="shared" si="0"/>
        <v>789</v>
      </c>
      <c r="J13" s="449">
        <f t="shared" si="0"/>
        <v>789</v>
      </c>
      <c r="K13" s="449">
        <f t="shared" si="0"/>
        <v>788</v>
      </c>
      <c r="L13" s="449">
        <f t="shared" si="0"/>
        <v>788</v>
      </c>
      <c r="M13" s="449">
        <f t="shared" si="0"/>
        <v>788</v>
      </c>
      <c r="N13" s="449">
        <f t="shared" si="0"/>
        <v>788</v>
      </c>
    </row>
    <row r="14" spans="1:14" s="560" customFormat="1" ht="27" customHeight="1">
      <c r="A14" s="1069" t="s">
        <v>321</v>
      </c>
      <c r="B14" s="760">
        <v>153</v>
      </c>
      <c r="C14" s="760">
        <v>153</v>
      </c>
      <c r="D14" s="760">
        <v>153</v>
      </c>
      <c r="E14" s="760">
        <v>153</v>
      </c>
      <c r="F14" s="760">
        <v>153</v>
      </c>
      <c r="G14" s="760">
        <v>153</v>
      </c>
      <c r="H14" s="760">
        <v>153</v>
      </c>
      <c r="I14" s="760">
        <v>153</v>
      </c>
      <c r="J14" s="760">
        <v>153</v>
      </c>
      <c r="K14" s="760">
        <v>153</v>
      </c>
      <c r="L14" s="760">
        <v>153</v>
      </c>
      <c r="M14" s="760">
        <v>153</v>
      </c>
      <c r="N14" s="760">
        <v>153</v>
      </c>
    </row>
    <row r="15" spans="1:14" s="560" customFormat="1" ht="27" customHeight="1" thickBot="1">
      <c r="A15" s="1070" t="s">
        <v>522</v>
      </c>
      <c r="B15" s="561">
        <v>4</v>
      </c>
      <c r="C15" s="561">
        <v>4</v>
      </c>
      <c r="D15" s="561">
        <v>4</v>
      </c>
      <c r="E15" s="561">
        <v>4</v>
      </c>
      <c r="F15" s="561">
        <v>4</v>
      </c>
      <c r="G15" s="561">
        <v>4</v>
      </c>
      <c r="H15" s="561">
        <v>4</v>
      </c>
      <c r="I15" s="561">
        <v>4</v>
      </c>
      <c r="J15" s="561">
        <v>4</v>
      </c>
      <c r="K15" s="561">
        <v>4</v>
      </c>
      <c r="L15" s="561">
        <v>4</v>
      </c>
      <c r="M15" s="561">
        <v>4</v>
      </c>
      <c r="N15" s="561">
        <v>4</v>
      </c>
    </row>
    <row r="16" spans="1:14" s="560" customFormat="1" ht="27" customHeight="1" thickBot="1">
      <c r="A16" s="1071" t="s">
        <v>1005</v>
      </c>
      <c r="B16" s="565">
        <f aca="true" t="shared" si="1" ref="B16:N16">B13+B14+B15</f>
        <v>1009</v>
      </c>
      <c r="C16" s="562">
        <f t="shared" si="1"/>
        <v>946</v>
      </c>
      <c r="D16" s="563">
        <f t="shared" si="1"/>
        <v>946</v>
      </c>
      <c r="E16" s="562">
        <f t="shared" si="1"/>
        <v>947</v>
      </c>
      <c r="F16" s="564">
        <f t="shared" si="1"/>
        <v>946</v>
      </c>
      <c r="G16" s="565">
        <f t="shared" si="1"/>
        <v>946</v>
      </c>
      <c r="H16" s="565">
        <f t="shared" si="1"/>
        <v>946</v>
      </c>
      <c r="I16" s="565">
        <f t="shared" si="1"/>
        <v>946</v>
      </c>
      <c r="J16" s="565">
        <f t="shared" si="1"/>
        <v>946</v>
      </c>
      <c r="K16" s="565">
        <f t="shared" si="1"/>
        <v>945</v>
      </c>
      <c r="L16" s="565">
        <f t="shared" si="1"/>
        <v>945</v>
      </c>
      <c r="M16" s="565">
        <f t="shared" si="1"/>
        <v>945</v>
      </c>
      <c r="N16" s="565">
        <f t="shared" si="1"/>
        <v>945</v>
      </c>
    </row>
    <row r="17" spans="1:14" s="560" customFormat="1" ht="27" customHeight="1">
      <c r="A17" s="1072" t="s">
        <v>1006</v>
      </c>
      <c r="B17" s="1076">
        <v>14</v>
      </c>
      <c r="C17" s="1073">
        <v>14</v>
      </c>
      <c r="D17" s="1074">
        <v>14</v>
      </c>
      <c r="E17" s="1073">
        <v>14</v>
      </c>
      <c r="F17" s="1075">
        <v>14</v>
      </c>
      <c r="G17" s="1076">
        <v>14</v>
      </c>
      <c r="H17" s="1076">
        <v>14</v>
      </c>
      <c r="I17" s="1076">
        <v>14</v>
      </c>
      <c r="J17" s="1076">
        <v>14</v>
      </c>
      <c r="K17" s="1076">
        <v>14</v>
      </c>
      <c r="L17" s="1076">
        <v>14</v>
      </c>
      <c r="M17" s="1076">
        <v>14</v>
      </c>
      <c r="N17" s="1076">
        <v>14</v>
      </c>
    </row>
    <row r="18" spans="1:14" ht="27" customHeight="1">
      <c r="A18" s="1077" t="s">
        <v>1208</v>
      </c>
      <c r="B18" s="566">
        <v>16</v>
      </c>
      <c r="C18" s="566">
        <v>16</v>
      </c>
      <c r="D18" s="566">
        <v>16</v>
      </c>
      <c r="E18" s="566">
        <v>0</v>
      </c>
      <c r="F18" s="566">
        <v>0</v>
      </c>
      <c r="G18" s="566">
        <v>0</v>
      </c>
      <c r="H18" s="566">
        <v>0</v>
      </c>
      <c r="I18" s="566">
        <v>0</v>
      </c>
      <c r="J18" s="566">
        <v>0</v>
      </c>
      <c r="K18" s="566">
        <v>0</v>
      </c>
      <c r="L18" s="566">
        <v>0</v>
      </c>
      <c r="M18" s="566">
        <v>0</v>
      </c>
      <c r="N18" s="566">
        <v>0</v>
      </c>
    </row>
    <row r="19" spans="1:14" ht="27" customHeight="1">
      <c r="A19" s="1077" t="s">
        <v>1209</v>
      </c>
      <c r="B19" s="566">
        <v>0</v>
      </c>
      <c r="C19" s="566">
        <v>0</v>
      </c>
      <c r="D19" s="566">
        <v>0</v>
      </c>
      <c r="E19" s="566">
        <v>0</v>
      </c>
      <c r="F19" s="566">
        <v>0</v>
      </c>
      <c r="G19" s="566">
        <v>0</v>
      </c>
      <c r="H19" s="566">
        <v>0</v>
      </c>
      <c r="I19" s="566">
        <v>0</v>
      </c>
      <c r="J19" s="566">
        <v>0</v>
      </c>
      <c r="K19" s="566">
        <v>0</v>
      </c>
      <c r="L19" s="566">
        <v>0</v>
      </c>
      <c r="M19" s="566">
        <v>0</v>
      </c>
      <c r="N19" s="566">
        <v>0</v>
      </c>
    </row>
    <row r="20" spans="1:14" ht="27" customHeight="1">
      <c r="A20" s="1077" t="s">
        <v>1210</v>
      </c>
      <c r="B20" s="567">
        <v>200</v>
      </c>
      <c r="C20" s="285">
        <v>200</v>
      </c>
      <c r="D20" s="286">
        <v>200</v>
      </c>
      <c r="E20" s="285">
        <v>0</v>
      </c>
      <c r="F20" s="286">
        <v>0</v>
      </c>
      <c r="G20" s="284">
        <v>0</v>
      </c>
      <c r="H20" s="567">
        <v>0</v>
      </c>
      <c r="I20" s="567">
        <v>0</v>
      </c>
      <c r="J20" s="567">
        <v>0</v>
      </c>
      <c r="K20" s="567">
        <v>0</v>
      </c>
      <c r="L20" s="567">
        <v>0</v>
      </c>
      <c r="M20" s="567">
        <v>0</v>
      </c>
      <c r="N20" s="567">
        <v>0</v>
      </c>
    </row>
    <row r="21" spans="1:14" ht="27" customHeight="1" thickBot="1">
      <c r="A21" s="1078" t="s">
        <v>1211</v>
      </c>
      <c r="B21" s="453">
        <v>0</v>
      </c>
      <c r="C21" s="287">
        <v>0</v>
      </c>
      <c r="D21" s="452">
        <v>0</v>
      </c>
      <c r="E21" s="453">
        <v>0</v>
      </c>
      <c r="F21" s="453">
        <v>0</v>
      </c>
      <c r="G21" s="453">
        <v>0</v>
      </c>
      <c r="H21" s="453">
        <v>0</v>
      </c>
      <c r="I21" s="453">
        <v>0</v>
      </c>
      <c r="J21" s="453">
        <v>0</v>
      </c>
      <c r="K21" s="453">
        <v>0</v>
      </c>
      <c r="L21" s="453">
        <v>0</v>
      </c>
      <c r="M21" s="453">
        <v>0</v>
      </c>
      <c r="N21" s="453">
        <v>0</v>
      </c>
    </row>
    <row r="22" spans="1:14" ht="27" customHeight="1" thickBot="1">
      <c r="A22" s="1079" t="s">
        <v>1007</v>
      </c>
      <c r="B22" s="288">
        <f aca="true" t="shared" si="2" ref="B22:N22">SUM(B17:B21)</f>
        <v>230</v>
      </c>
      <c r="C22" s="288">
        <f t="shared" si="2"/>
        <v>230</v>
      </c>
      <c r="D22" s="288">
        <f t="shared" si="2"/>
        <v>230</v>
      </c>
      <c r="E22" s="288">
        <f t="shared" si="2"/>
        <v>14</v>
      </c>
      <c r="F22" s="288">
        <f t="shared" si="2"/>
        <v>14</v>
      </c>
      <c r="G22" s="288">
        <f t="shared" si="2"/>
        <v>14</v>
      </c>
      <c r="H22" s="288">
        <f t="shared" si="2"/>
        <v>14</v>
      </c>
      <c r="I22" s="288">
        <f t="shared" si="2"/>
        <v>14</v>
      </c>
      <c r="J22" s="288">
        <f t="shared" si="2"/>
        <v>14</v>
      </c>
      <c r="K22" s="288">
        <f t="shared" si="2"/>
        <v>14</v>
      </c>
      <c r="L22" s="288">
        <f t="shared" si="2"/>
        <v>14</v>
      </c>
      <c r="M22" s="288">
        <f t="shared" si="2"/>
        <v>14</v>
      </c>
      <c r="N22" s="288">
        <f t="shared" si="2"/>
        <v>14</v>
      </c>
    </row>
  </sheetData>
  <sheetProtection/>
  <printOptions/>
  <pageMargins left="0.8661417322834646" right="0.11811023622047245" top="1.0236220472440944" bottom="0.9448818897637796" header="0.2362204724409449" footer="0.4330708661417323"/>
  <pageSetup fitToHeight="1" fitToWidth="1" orientation="landscape" paperSize="9" scale="71" r:id="rId1"/>
  <headerFooter alignWithMargins="0">
    <oddHeader>&amp;CPESTERZSÉBET ÖNKORMÁNYZATÁNAK 2017. ÉVI KÖLTSÉGVETÉSI LÉTSZÁMKERETE
(fő)&amp;R1.5.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36"/>
  <dimension ref="C27:C27"/>
  <sheetViews>
    <sheetView zoomScalePageLayoutView="0" workbookViewId="0" topLeftCell="A1">
      <selection activeCell="F15" sqref="F15"/>
    </sheetView>
  </sheetViews>
  <sheetFormatPr defaultColWidth="9.140625" defaultRowHeight="12.75"/>
  <sheetData>
    <row r="27" ht="30.75">
      <c r="C27" s="428" t="s">
        <v>689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="85" zoomScaleNormal="85" zoomScalePageLayoutView="85" workbookViewId="0" topLeftCell="A58">
      <selection activeCell="T71" sqref="T71"/>
    </sheetView>
  </sheetViews>
  <sheetFormatPr defaultColWidth="9.140625" defaultRowHeight="12.75"/>
  <cols>
    <col min="1" max="1" width="11.28125" style="0" bestFit="1" customWidth="1"/>
    <col min="2" max="2" width="57.421875" style="0" customWidth="1"/>
    <col min="3" max="3" width="19.7109375" style="0" customWidth="1"/>
    <col min="4" max="5" width="17.8515625" style="0" customWidth="1"/>
    <col min="6" max="6" width="19.140625" style="0" customWidth="1"/>
    <col min="7" max="7" width="17.8515625" style="0" customWidth="1"/>
    <col min="8" max="8" width="20.00390625" style="981" customWidth="1"/>
  </cols>
  <sheetData>
    <row r="1" spans="1:8" ht="14.25">
      <c r="A1" s="1834" t="s">
        <v>523</v>
      </c>
      <c r="B1" s="1836" t="s">
        <v>689</v>
      </c>
      <c r="C1" s="1838" t="s">
        <v>1054</v>
      </c>
      <c r="D1" s="1838" t="s">
        <v>1050</v>
      </c>
      <c r="E1" s="1838"/>
      <c r="F1" s="1838"/>
      <c r="G1" s="1838"/>
      <c r="H1" s="1840" t="s">
        <v>1051</v>
      </c>
    </row>
    <row r="2" spans="1:8" ht="43.5" thickBot="1">
      <c r="A2" s="1835"/>
      <c r="B2" s="1837"/>
      <c r="C2" s="1839"/>
      <c r="D2" s="999" t="s">
        <v>287</v>
      </c>
      <c r="E2" s="999" t="s">
        <v>795</v>
      </c>
      <c r="F2" s="999" t="s">
        <v>796</v>
      </c>
      <c r="G2" s="999" t="s">
        <v>65</v>
      </c>
      <c r="H2" s="1841"/>
    </row>
    <row r="3" spans="1:8" ht="28.5" customHeight="1" thickBot="1">
      <c r="A3" s="921" t="s">
        <v>185</v>
      </c>
      <c r="B3" s="925" t="s">
        <v>186</v>
      </c>
      <c r="C3" s="915">
        <f>C4+C15</f>
        <v>1899116</v>
      </c>
      <c r="D3" s="915">
        <f>D4+D15</f>
        <v>1815278710</v>
      </c>
      <c r="E3" s="915">
        <f>E4+E15</f>
        <v>0</v>
      </c>
      <c r="F3" s="915">
        <f>F4+F15</f>
        <v>14500000</v>
      </c>
      <c r="G3" s="915">
        <f>SUM(D3:F3)</f>
        <v>1829778710</v>
      </c>
      <c r="H3" s="1733">
        <f>G3/(C3*1000)</f>
        <v>0.96</v>
      </c>
    </row>
    <row r="4" spans="1:8" ht="28.5" customHeight="1">
      <c r="A4" s="1000" t="s">
        <v>183</v>
      </c>
      <c r="B4" s="1001" t="s">
        <v>184</v>
      </c>
      <c r="C4" s="1002">
        <f>C5+C7+C8+C13</f>
        <v>1866668</v>
      </c>
      <c r="D4" s="1002">
        <f>D5+D7+D8+D13</f>
        <v>1804978710</v>
      </c>
      <c r="E4" s="1002">
        <f>E5+E7+E8+E13</f>
        <v>0</v>
      </c>
      <c r="F4" s="1002">
        <f>F5+F7+F8+F13</f>
        <v>0</v>
      </c>
      <c r="G4" s="1002">
        <f>SUM(D4:F4)</f>
        <v>1804978710</v>
      </c>
      <c r="H4" s="987">
        <f>G4/(C4*1000)</f>
        <v>0.97</v>
      </c>
    </row>
    <row r="5" spans="1:8" s="922" customFormat="1" ht="28.5" customHeight="1">
      <c r="A5" s="919" t="s">
        <v>916</v>
      </c>
      <c r="B5" s="923" t="s">
        <v>918</v>
      </c>
      <c r="C5" s="911">
        <f>C6</f>
        <v>3386</v>
      </c>
      <c r="D5" s="911">
        <f>D6</f>
        <v>0</v>
      </c>
      <c r="E5" s="911">
        <f>E6</f>
        <v>0</v>
      </c>
      <c r="F5" s="911">
        <f>F6</f>
        <v>0</v>
      </c>
      <c r="G5" s="911">
        <f aca="true" t="shared" si="0" ref="G5:G61">SUM(D5:F5)</f>
        <v>0</v>
      </c>
      <c r="H5" s="991">
        <f aca="true" t="shared" si="1" ref="H5:H62">G5/(C5*1000)</f>
        <v>0</v>
      </c>
    </row>
    <row r="6" spans="1:8" ht="28.5" customHeight="1">
      <c r="A6" s="920"/>
      <c r="B6" s="912" t="s">
        <v>944</v>
      </c>
      <c r="C6" s="913">
        <v>3386</v>
      </c>
      <c r="D6" s="913"/>
      <c r="E6" s="913"/>
      <c r="F6" s="913"/>
      <c r="G6" s="913">
        <f t="shared" si="0"/>
        <v>0</v>
      </c>
      <c r="H6" s="986"/>
    </row>
    <row r="7" spans="1:8" ht="28.5" customHeight="1">
      <c r="A7" s="920" t="s">
        <v>917</v>
      </c>
      <c r="B7" s="912" t="s">
        <v>919</v>
      </c>
      <c r="C7" s="913">
        <v>1180399</v>
      </c>
      <c r="D7" s="989">
        <v>1135320914</v>
      </c>
      <c r="E7" s="913"/>
      <c r="F7" s="913"/>
      <c r="G7" s="913">
        <f t="shared" si="0"/>
        <v>1135320914</v>
      </c>
      <c r="H7" s="986">
        <f t="shared" si="1"/>
        <v>0.96</v>
      </c>
    </row>
    <row r="8" spans="1:8" ht="28.5" customHeight="1">
      <c r="A8" s="919" t="s">
        <v>920</v>
      </c>
      <c r="B8" s="923" t="s">
        <v>921</v>
      </c>
      <c r="C8" s="911">
        <f>SUM(C9:C12)</f>
        <v>657040</v>
      </c>
      <c r="D8" s="911">
        <f>SUM(D9:D12)</f>
        <v>643896996</v>
      </c>
      <c r="E8" s="911">
        <f>SUM(E9:E12)</f>
        <v>0</v>
      </c>
      <c r="F8" s="911">
        <f>SUM(F9:F12)</f>
        <v>0</v>
      </c>
      <c r="G8" s="911">
        <f t="shared" si="0"/>
        <v>643896996</v>
      </c>
      <c r="H8" s="1005">
        <f t="shared" si="1"/>
        <v>0.98</v>
      </c>
    </row>
    <row r="9" spans="1:8" ht="28.5" customHeight="1">
      <c r="A9" s="920"/>
      <c r="B9" s="912" t="s">
        <v>1293</v>
      </c>
      <c r="C9" s="913">
        <v>643757</v>
      </c>
      <c r="D9" s="989">
        <v>643896996</v>
      </c>
      <c r="E9" s="913"/>
      <c r="F9" s="913"/>
      <c r="G9" s="913">
        <f t="shared" si="0"/>
        <v>643896996</v>
      </c>
      <c r="H9" s="986">
        <f t="shared" si="1"/>
        <v>1</v>
      </c>
    </row>
    <row r="10" spans="1:8" ht="28.5" customHeight="1">
      <c r="A10" s="920"/>
      <c r="B10" s="912" t="s">
        <v>1294</v>
      </c>
      <c r="C10" s="913">
        <v>65</v>
      </c>
      <c r="D10" s="913"/>
      <c r="E10" s="913"/>
      <c r="F10" s="913"/>
      <c r="G10" s="913">
        <f t="shared" si="0"/>
        <v>0</v>
      </c>
      <c r="H10" s="986"/>
    </row>
    <row r="11" spans="1:8" ht="28.5" customHeight="1">
      <c r="A11" s="920"/>
      <c r="B11" s="912" t="s">
        <v>1295</v>
      </c>
      <c r="C11" s="913">
        <v>8176</v>
      </c>
      <c r="D11" s="913"/>
      <c r="E11" s="913"/>
      <c r="F11" s="913"/>
      <c r="G11" s="913">
        <f t="shared" si="0"/>
        <v>0</v>
      </c>
      <c r="H11" s="986"/>
    </row>
    <row r="12" spans="1:8" ht="28.5" customHeight="1">
      <c r="A12" s="920"/>
      <c r="B12" s="912" t="s">
        <v>1296</v>
      </c>
      <c r="C12" s="913">
        <v>5042</v>
      </c>
      <c r="D12" s="913"/>
      <c r="E12" s="913"/>
      <c r="F12" s="913"/>
      <c r="G12" s="913">
        <f t="shared" si="0"/>
        <v>0</v>
      </c>
      <c r="H12" s="986"/>
    </row>
    <row r="13" spans="1:8" ht="28.5" customHeight="1">
      <c r="A13" s="919" t="s">
        <v>922</v>
      </c>
      <c r="B13" s="923" t="s">
        <v>1298</v>
      </c>
      <c r="C13" s="911">
        <f>C14</f>
        <v>25843</v>
      </c>
      <c r="D13" s="911">
        <f>SUM(D14:D14)</f>
        <v>25760800</v>
      </c>
      <c r="E13" s="911">
        <f>SUM(E14:E14)</f>
        <v>0</v>
      </c>
      <c r="F13" s="911">
        <f>SUM(F14:F14)</f>
        <v>0</v>
      </c>
      <c r="G13" s="911">
        <f t="shared" si="0"/>
        <v>25760800</v>
      </c>
      <c r="H13" s="1005">
        <f t="shared" si="1"/>
        <v>1</v>
      </c>
    </row>
    <row r="14" spans="1:8" ht="28.5" customHeight="1">
      <c r="A14" s="920"/>
      <c r="B14" s="912" t="s">
        <v>923</v>
      </c>
      <c r="C14" s="913">
        <v>25843</v>
      </c>
      <c r="D14" s="913">
        <v>25760800</v>
      </c>
      <c r="E14" s="913"/>
      <c r="F14" s="913"/>
      <c r="G14" s="913">
        <f t="shared" si="0"/>
        <v>25760800</v>
      </c>
      <c r="H14" s="1121">
        <f t="shared" si="1"/>
        <v>1</v>
      </c>
    </row>
    <row r="15" spans="1:8" ht="28.5" customHeight="1">
      <c r="A15" s="918" t="s">
        <v>487</v>
      </c>
      <c r="B15" s="924" t="s">
        <v>488</v>
      </c>
      <c r="C15" s="917">
        <f>+C16+C19+C22</f>
        <v>32448</v>
      </c>
      <c r="D15" s="917">
        <f>+D16+D19+D22</f>
        <v>10300000</v>
      </c>
      <c r="E15" s="917">
        <f>+E16+E19+E22</f>
        <v>0</v>
      </c>
      <c r="F15" s="917">
        <f>+F16+F19+F22</f>
        <v>14500000</v>
      </c>
      <c r="G15" s="917">
        <f t="shared" si="0"/>
        <v>24800000</v>
      </c>
      <c r="H15" s="1006">
        <f t="shared" si="1"/>
        <v>0.76</v>
      </c>
    </row>
    <row r="16" spans="1:8" ht="28.5" customHeight="1">
      <c r="A16" s="919"/>
      <c r="B16" s="923" t="s">
        <v>903</v>
      </c>
      <c r="C16" s="911">
        <f>SUM(C17:C18)</f>
        <v>18500</v>
      </c>
      <c r="D16" s="911">
        <f>SUM(D17:D18)</f>
        <v>0</v>
      </c>
      <c r="E16" s="911">
        <f>SUM(E17:E18)</f>
        <v>0</v>
      </c>
      <c r="F16" s="911">
        <f>SUM(F17:F18)</f>
        <v>14500000</v>
      </c>
      <c r="G16" s="911">
        <f t="shared" si="0"/>
        <v>14500000</v>
      </c>
      <c r="H16" s="991">
        <f t="shared" si="1"/>
        <v>0.78</v>
      </c>
    </row>
    <row r="17" spans="1:8" ht="28.5" customHeight="1">
      <c r="A17" s="919"/>
      <c r="B17" s="926" t="s">
        <v>904</v>
      </c>
      <c r="C17" s="1120">
        <v>500</v>
      </c>
      <c r="D17" s="913"/>
      <c r="E17" s="913"/>
      <c r="F17" s="913">
        <v>500000</v>
      </c>
      <c r="G17" s="913">
        <f t="shared" si="0"/>
        <v>500000</v>
      </c>
      <c r="H17" s="986">
        <f t="shared" si="1"/>
        <v>1</v>
      </c>
    </row>
    <row r="18" spans="1:8" ht="28.5" customHeight="1">
      <c r="A18" s="919"/>
      <c r="B18" s="926" t="s">
        <v>905</v>
      </c>
      <c r="C18" s="1120">
        <v>18000</v>
      </c>
      <c r="D18" s="913"/>
      <c r="E18" s="913"/>
      <c r="F18" s="913">
        <v>14000000</v>
      </c>
      <c r="G18" s="913">
        <f t="shared" si="0"/>
        <v>14000000</v>
      </c>
      <c r="H18" s="986">
        <f t="shared" si="1"/>
        <v>0.78</v>
      </c>
    </row>
    <row r="19" spans="1:8" ht="28.5" customHeight="1">
      <c r="A19" s="919"/>
      <c r="B19" s="923" t="s">
        <v>906</v>
      </c>
      <c r="C19" s="911">
        <f>SUM(C20:C21)</f>
        <v>1152</v>
      </c>
      <c r="D19" s="911">
        <f>SUM(D20:D21)</f>
        <v>300000</v>
      </c>
      <c r="E19" s="911">
        <f>SUM(E20:E21)</f>
        <v>0</v>
      </c>
      <c r="F19" s="911">
        <f>SUM(F20:F21)</f>
        <v>0</v>
      </c>
      <c r="G19" s="911">
        <f t="shared" si="0"/>
        <v>300000</v>
      </c>
      <c r="H19" s="1005">
        <f t="shared" si="1"/>
        <v>0.26</v>
      </c>
    </row>
    <row r="20" spans="1:8" ht="28.5" customHeight="1">
      <c r="A20" s="920"/>
      <c r="B20" s="912" t="s">
        <v>1053</v>
      </c>
      <c r="C20" s="913">
        <v>1152</v>
      </c>
      <c r="D20" s="989"/>
      <c r="E20" s="913"/>
      <c r="F20" s="913"/>
      <c r="G20" s="913">
        <f>SUM(D20:F20)</f>
        <v>0</v>
      </c>
      <c r="H20" s="986"/>
    </row>
    <row r="21" spans="1:8" ht="28.5" customHeight="1">
      <c r="A21" s="920"/>
      <c r="B21" s="912" t="s">
        <v>1297</v>
      </c>
      <c r="C21" s="913"/>
      <c r="D21" s="989">
        <v>300000</v>
      </c>
      <c r="E21" s="913"/>
      <c r="F21" s="913"/>
      <c r="G21" s="913">
        <f t="shared" si="0"/>
        <v>300000</v>
      </c>
      <c r="H21" s="986"/>
    </row>
    <row r="22" spans="1:8" ht="28.5" customHeight="1">
      <c r="A22" s="919"/>
      <c r="B22" s="923" t="s">
        <v>1071</v>
      </c>
      <c r="C22" s="911">
        <f>SUM(C23:C24)</f>
        <v>12796</v>
      </c>
      <c r="D22" s="911">
        <f>SUM(D23:D24)</f>
        <v>10000000</v>
      </c>
      <c r="E22" s="911">
        <f>SUM(E23:E24)</f>
        <v>0</v>
      </c>
      <c r="F22" s="911">
        <f>SUM(F23:F24)</f>
        <v>0</v>
      </c>
      <c r="G22" s="911">
        <f t="shared" si="0"/>
        <v>10000000</v>
      </c>
      <c r="H22" s="1005">
        <f t="shared" si="1"/>
        <v>0.78</v>
      </c>
    </row>
    <row r="23" spans="1:8" ht="28.5" customHeight="1">
      <c r="A23" s="920"/>
      <c r="B23" s="912" t="s">
        <v>1072</v>
      </c>
      <c r="C23" s="913">
        <v>9000</v>
      </c>
      <c r="D23" s="913">
        <v>10000000</v>
      </c>
      <c r="E23" s="913"/>
      <c r="F23" s="913"/>
      <c r="G23" s="913">
        <f t="shared" si="0"/>
        <v>10000000</v>
      </c>
      <c r="H23" s="986">
        <f t="shared" si="1"/>
        <v>1.11</v>
      </c>
    </row>
    <row r="24" spans="1:8" ht="57.75" thickBot="1">
      <c r="A24" s="1003"/>
      <c r="B24" s="979" t="s">
        <v>1073</v>
      </c>
      <c r="C24" s="1004">
        <v>3796</v>
      </c>
      <c r="D24" s="1004"/>
      <c r="E24" s="1004"/>
      <c r="F24" s="1004"/>
      <c r="G24" s="1004">
        <f t="shared" si="0"/>
        <v>0</v>
      </c>
      <c r="H24" s="988">
        <f t="shared" si="1"/>
        <v>0</v>
      </c>
    </row>
    <row r="25" spans="1:8" ht="28.5" customHeight="1" thickBot="1">
      <c r="A25" s="921" t="s">
        <v>187</v>
      </c>
      <c r="B25" s="925" t="s">
        <v>145</v>
      </c>
      <c r="C25" s="915">
        <f>+C26</f>
        <v>49798</v>
      </c>
      <c r="D25" s="915">
        <f>+D26</f>
        <v>1000000000</v>
      </c>
      <c r="E25" s="915">
        <f>+E26</f>
        <v>19000000</v>
      </c>
      <c r="F25" s="915">
        <f>+F26</f>
        <v>0</v>
      </c>
      <c r="G25" s="915">
        <f t="shared" si="0"/>
        <v>1019000000</v>
      </c>
      <c r="H25" s="1007">
        <f t="shared" si="1"/>
        <v>20.46</v>
      </c>
    </row>
    <row r="26" spans="1:8" ht="28.5" customHeight="1">
      <c r="A26" s="1000" t="s">
        <v>470</v>
      </c>
      <c r="B26" s="1001" t="s">
        <v>212</v>
      </c>
      <c r="C26" s="1002">
        <f>+C27+C29</f>
        <v>49798</v>
      </c>
      <c r="D26" s="1002">
        <f>+D27+D29</f>
        <v>1000000000</v>
      </c>
      <c r="E26" s="1002">
        <f>+E27+E29</f>
        <v>19000000</v>
      </c>
      <c r="F26" s="1002">
        <f>+F27+F29</f>
        <v>0</v>
      </c>
      <c r="G26" s="1002">
        <f t="shared" si="0"/>
        <v>1019000000</v>
      </c>
      <c r="H26" s="1008">
        <f t="shared" si="1"/>
        <v>20.46</v>
      </c>
    </row>
    <row r="27" spans="1:8" ht="28.5" customHeight="1">
      <c r="A27" s="1000"/>
      <c r="B27" s="923" t="s">
        <v>1066</v>
      </c>
      <c r="C27" s="1002">
        <f>+C28</f>
        <v>0</v>
      </c>
      <c r="D27" s="1002">
        <f>+D28</f>
        <v>1000000000</v>
      </c>
      <c r="E27" s="1002">
        <f>+E28</f>
        <v>0</v>
      </c>
      <c r="F27" s="1002">
        <f>+F28</f>
        <v>0</v>
      </c>
      <c r="G27" s="1002">
        <f t="shared" si="0"/>
        <v>1000000000</v>
      </c>
      <c r="H27" s="1008"/>
    </row>
    <row r="28" spans="1:8" ht="28.5" customHeight="1">
      <c r="A28" s="1000"/>
      <c r="B28" s="1127" t="s">
        <v>1070</v>
      </c>
      <c r="C28" s="1002"/>
      <c r="D28" s="1128">
        <v>1000000000</v>
      </c>
      <c r="E28" s="1128"/>
      <c r="F28" s="1128"/>
      <c r="G28" s="1128">
        <f t="shared" si="0"/>
        <v>1000000000</v>
      </c>
      <c r="H28" s="1129"/>
    </row>
    <row r="29" spans="1:8" ht="28.5">
      <c r="A29" s="919"/>
      <c r="B29" s="923" t="s">
        <v>1067</v>
      </c>
      <c r="C29" s="911">
        <f>SUM(C30:C31)</f>
        <v>49798</v>
      </c>
      <c r="D29" s="911">
        <f>SUM(D30:D31)</f>
        <v>0</v>
      </c>
      <c r="E29" s="911">
        <f>SUM(E30:E31)</f>
        <v>19000000</v>
      </c>
      <c r="F29" s="911">
        <f>SUM(F30:F31)</f>
        <v>0</v>
      </c>
      <c r="G29" s="911">
        <f t="shared" si="0"/>
        <v>19000000</v>
      </c>
      <c r="H29" s="1005">
        <f t="shared" si="1"/>
        <v>0.38</v>
      </c>
    </row>
    <row r="30" spans="1:8" ht="57">
      <c r="A30" s="920"/>
      <c r="B30" s="912" t="s">
        <v>1068</v>
      </c>
      <c r="C30" s="913">
        <v>30798</v>
      </c>
      <c r="D30" s="913"/>
      <c r="E30" s="913"/>
      <c r="F30" s="913"/>
      <c r="G30" s="913">
        <f t="shared" si="0"/>
        <v>0</v>
      </c>
      <c r="H30" s="986"/>
    </row>
    <row r="31" spans="1:8" ht="43.5" thickBot="1">
      <c r="A31" s="1003"/>
      <c r="B31" s="979" t="s">
        <v>1069</v>
      </c>
      <c r="C31" s="1004">
        <v>19000</v>
      </c>
      <c r="D31" s="1004"/>
      <c r="E31" s="1004">
        <v>19000000</v>
      </c>
      <c r="F31" s="1004"/>
      <c r="G31" s="1004">
        <f t="shared" si="0"/>
        <v>19000000</v>
      </c>
      <c r="H31" s="988">
        <f t="shared" si="1"/>
        <v>1</v>
      </c>
    </row>
    <row r="32" spans="1:8" ht="28.5" customHeight="1" thickBot="1">
      <c r="A32" s="921" t="s">
        <v>193</v>
      </c>
      <c r="B32" s="925" t="s">
        <v>177</v>
      </c>
      <c r="C32" s="915">
        <f>C33+C36+C43</f>
        <v>5012597</v>
      </c>
      <c r="D32" s="915">
        <f>D33+D36+D43</f>
        <v>5042140979</v>
      </c>
      <c r="E32" s="915">
        <f>E33+E36+E43</f>
        <v>0</v>
      </c>
      <c r="F32" s="915">
        <f>F33+F36+F43</f>
        <v>0</v>
      </c>
      <c r="G32" s="915">
        <f t="shared" si="0"/>
        <v>5042140979</v>
      </c>
      <c r="H32" s="1007">
        <f t="shared" si="1"/>
        <v>1.01</v>
      </c>
    </row>
    <row r="33" spans="1:8" ht="28.5" customHeight="1">
      <c r="A33" s="1000" t="s">
        <v>188</v>
      </c>
      <c r="B33" s="1001" t="s">
        <v>808</v>
      </c>
      <c r="C33" s="1002">
        <f>C34+C35</f>
        <v>940000</v>
      </c>
      <c r="D33" s="1002">
        <f>D34+D35</f>
        <v>925000000</v>
      </c>
      <c r="E33" s="1002">
        <f>E34+E35</f>
        <v>0</v>
      </c>
      <c r="F33" s="1002">
        <f>F34+F35</f>
        <v>0</v>
      </c>
      <c r="G33" s="1002">
        <f t="shared" si="0"/>
        <v>925000000</v>
      </c>
      <c r="H33" s="1008">
        <f t="shared" si="1"/>
        <v>0.98</v>
      </c>
    </row>
    <row r="34" spans="1:8" ht="28.5" customHeight="1">
      <c r="A34" s="920"/>
      <c r="B34" s="912" t="s">
        <v>924</v>
      </c>
      <c r="C34" s="913">
        <v>560000</v>
      </c>
      <c r="D34" s="913">
        <v>540000000</v>
      </c>
      <c r="E34" s="913"/>
      <c r="F34" s="913"/>
      <c r="G34" s="913">
        <f t="shared" si="0"/>
        <v>540000000</v>
      </c>
      <c r="H34" s="986">
        <f t="shared" si="1"/>
        <v>0.96</v>
      </c>
    </row>
    <row r="35" spans="1:8" ht="28.5" customHeight="1">
      <c r="A35" s="920"/>
      <c r="B35" s="912" t="s">
        <v>925</v>
      </c>
      <c r="C35" s="913">
        <v>380000</v>
      </c>
      <c r="D35" s="913">
        <v>385000000</v>
      </c>
      <c r="E35" s="913"/>
      <c r="F35" s="913"/>
      <c r="G35" s="913">
        <f t="shared" si="0"/>
        <v>385000000</v>
      </c>
      <c r="H35" s="986">
        <f t="shared" si="1"/>
        <v>1.01</v>
      </c>
    </row>
    <row r="36" spans="1:8" ht="28.5" customHeight="1">
      <c r="A36" s="918" t="s">
        <v>190</v>
      </c>
      <c r="B36" s="924" t="s">
        <v>807</v>
      </c>
      <c r="C36" s="917">
        <f>SUM(C37:C42)</f>
        <v>4052375</v>
      </c>
      <c r="D36" s="917">
        <f>SUM(D37:D42)</f>
        <v>4090541979</v>
      </c>
      <c r="E36" s="917">
        <f>SUM(E37:E42)</f>
        <v>0</v>
      </c>
      <c r="F36" s="917">
        <f>SUM(F37:F42)</f>
        <v>0</v>
      </c>
      <c r="G36" s="917">
        <f t="shared" si="0"/>
        <v>4090541979</v>
      </c>
      <c r="H36" s="1006">
        <f t="shared" si="1"/>
        <v>1.01</v>
      </c>
    </row>
    <row r="37" spans="1:8" ht="28.5" customHeight="1">
      <c r="A37" s="920"/>
      <c r="B37" s="912" t="s">
        <v>201</v>
      </c>
      <c r="C37" s="913">
        <v>3896270</v>
      </c>
      <c r="D37" s="913">
        <f>3946465000-6599000</f>
        <v>3939866000</v>
      </c>
      <c r="E37" s="913"/>
      <c r="F37" s="913"/>
      <c r="G37" s="913">
        <f t="shared" si="0"/>
        <v>3939866000</v>
      </c>
      <c r="H37" s="986">
        <f t="shared" si="1"/>
        <v>1.01</v>
      </c>
    </row>
    <row r="38" spans="1:8" ht="28.5" customHeight="1">
      <c r="A38" s="920"/>
      <c r="B38" s="912" t="s">
        <v>873</v>
      </c>
      <c r="C38" s="913">
        <v>8787</v>
      </c>
      <c r="D38" s="913"/>
      <c r="E38" s="913"/>
      <c r="F38" s="913"/>
      <c r="G38" s="913">
        <f t="shared" si="0"/>
        <v>0</v>
      </c>
      <c r="H38" s="986">
        <f t="shared" si="1"/>
        <v>0</v>
      </c>
    </row>
    <row r="39" spans="1:8" ht="28.5" customHeight="1">
      <c r="A39" s="920"/>
      <c r="B39" s="912" t="s">
        <v>1052</v>
      </c>
      <c r="C39" s="913"/>
      <c r="D39" s="913">
        <v>5110979</v>
      </c>
      <c r="E39" s="913"/>
      <c r="F39" s="913"/>
      <c r="G39" s="913">
        <f t="shared" si="0"/>
        <v>5110979</v>
      </c>
      <c r="H39" s="986"/>
    </row>
    <row r="40" spans="1:8" ht="28.5" customHeight="1">
      <c r="A40" s="920"/>
      <c r="B40" s="912" t="s">
        <v>189</v>
      </c>
      <c r="C40" s="913">
        <v>137000</v>
      </c>
      <c r="D40" s="913">
        <v>145000000</v>
      </c>
      <c r="E40" s="913"/>
      <c r="F40" s="913"/>
      <c r="G40" s="913">
        <f t="shared" si="0"/>
        <v>145000000</v>
      </c>
      <c r="H40" s="986">
        <f t="shared" si="1"/>
        <v>1.06</v>
      </c>
    </row>
    <row r="41" spans="1:8" ht="28.5" customHeight="1">
      <c r="A41" s="920"/>
      <c r="B41" s="912" t="s">
        <v>298</v>
      </c>
      <c r="C41" s="913">
        <v>10000</v>
      </c>
      <c r="D41" s="913"/>
      <c r="E41" s="913"/>
      <c r="F41" s="913"/>
      <c r="G41" s="913">
        <f t="shared" si="0"/>
        <v>0</v>
      </c>
      <c r="H41" s="986">
        <f t="shared" si="1"/>
        <v>0</v>
      </c>
    </row>
    <row r="42" spans="1:8" ht="28.5" customHeight="1">
      <c r="A42" s="920"/>
      <c r="B42" s="912" t="s">
        <v>806</v>
      </c>
      <c r="C42" s="913">
        <v>318</v>
      </c>
      <c r="D42" s="913">
        <v>565000</v>
      </c>
      <c r="E42" s="913"/>
      <c r="F42" s="913"/>
      <c r="G42" s="913">
        <f t="shared" si="0"/>
        <v>565000</v>
      </c>
      <c r="H42" s="986">
        <f t="shared" si="1"/>
        <v>1.78</v>
      </c>
    </row>
    <row r="43" spans="1:8" ht="28.5" customHeight="1">
      <c r="A43" s="918" t="s">
        <v>191</v>
      </c>
      <c r="B43" s="924" t="s">
        <v>192</v>
      </c>
      <c r="C43" s="917">
        <f>SUM(C44:C47)</f>
        <v>20222</v>
      </c>
      <c r="D43" s="917">
        <f>SUM(D44:D47)</f>
        <v>26599000</v>
      </c>
      <c r="E43" s="917">
        <f>SUM(E44:E47)</f>
        <v>0</v>
      </c>
      <c r="F43" s="917">
        <f>SUM(F44:F47)</f>
        <v>0</v>
      </c>
      <c r="G43" s="917">
        <f t="shared" si="0"/>
        <v>26599000</v>
      </c>
      <c r="H43" s="1006">
        <f t="shared" si="1"/>
        <v>1.32</v>
      </c>
    </row>
    <row r="44" spans="1:8" ht="28.5" customHeight="1">
      <c r="A44" s="920"/>
      <c r="B44" s="912" t="s">
        <v>809</v>
      </c>
      <c r="C44" s="913">
        <v>5000</v>
      </c>
      <c r="D44" s="913">
        <v>4500000</v>
      </c>
      <c r="E44" s="913"/>
      <c r="F44" s="913"/>
      <c r="G44" s="913">
        <f t="shared" si="0"/>
        <v>4500000</v>
      </c>
      <c r="H44" s="986">
        <f t="shared" si="1"/>
        <v>0.9</v>
      </c>
    </row>
    <row r="45" spans="1:8" ht="28.5" customHeight="1">
      <c r="A45" s="920"/>
      <c r="B45" s="912" t="s">
        <v>298</v>
      </c>
      <c r="C45" s="913"/>
      <c r="D45" s="913">
        <v>12000000</v>
      </c>
      <c r="E45" s="913"/>
      <c r="F45" s="913"/>
      <c r="G45" s="913">
        <f t="shared" si="0"/>
        <v>12000000</v>
      </c>
      <c r="H45" s="986"/>
    </row>
    <row r="46" spans="1:8" ht="28.5" customHeight="1">
      <c r="A46" s="920"/>
      <c r="B46" s="912" t="s">
        <v>874</v>
      </c>
      <c r="C46" s="913">
        <v>10222</v>
      </c>
      <c r="D46" s="913">
        <v>6599000</v>
      </c>
      <c r="E46" s="913"/>
      <c r="F46" s="913"/>
      <c r="G46" s="913">
        <f t="shared" si="0"/>
        <v>6599000</v>
      </c>
      <c r="H46" s="986">
        <f t="shared" si="1"/>
        <v>0.65</v>
      </c>
    </row>
    <row r="47" spans="1:8" ht="28.5" customHeight="1" thickBot="1">
      <c r="A47" s="1003"/>
      <c r="B47" s="979" t="s">
        <v>810</v>
      </c>
      <c r="C47" s="1004">
        <v>5000</v>
      </c>
      <c r="D47" s="1004">
        <v>3500000</v>
      </c>
      <c r="E47" s="1004"/>
      <c r="F47" s="1004"/>
      <c r="G47" s="1004">
        <f t="shared" si="0"/>
        <v>3500000</v>
      </c>
      <c r="H47" s="988">
        <f t="shared" si="1"/>
        <v>0.7</v>
      </c>
    </row>
    <row r="48" spans="1:8" ht="28.5" customHeight="1" thickBot="1">
      <c r="A48" s="921" t="s">
        <v>469</v>
      </c>
      <c r="B48" s="925" t="s">
        <v>149</v>
      </c>
      <c r="C48" s="915">
        <f>+C49+C58+C59+C60+C62</f>
        <v>330435</v>
      </c>
      <c r="D48" s="915">
        <f>+D49+D58+D59+D60+D62</f>
        <v>446458000</v>
      </c>
      <c r="E48" s="915">
        <f>+E49+E58+E59+E60+E62</f>
        <v>0</v>
      </c>
      <c r="F48" s="915">
        <f>+F49+F58+F59+F60+F62</f>
        <v>0</v>
      </c>
      <c r="G48" s="915">
        <f t="shared" si="0"/>
        <v>446458000</v>
      </c>
      <c r="H48" s="1007">
        <f t="shared" si="1"/>
        <v>1.35</v>
      </c>
    </row>
    <row r="49" spans="1:8" ht="28.5" customHeight="1">
      <c r="A49" s="927" t="s">
        <v>194</v>
      </c>
      <c r="B49" s="928" t="s">
        <v>115</v>
      </c>
      <c r="C49" s="916">
        <f>SUM(C50:C57)</f>
        <v>234100</v>
      </c>
      <c r="D49" s="916">
        <f>SUM(D50:D57)</f>
        <v>322200000</v>
      </c>
      <c r="E49" s="916">
        <f>SUM(E50:E57)</f>
        <v>0</v>
      </c>
      <c r="F49" s="916">
        <f>SUM(F50:F57)</f>
        <v>0</v>
      </c>
      <c r="G49" s="916">
        <f t="shared" si="0"/>
        <v>322200000</v>
      </c>
      <c r="H49" s="1009">
        <f t="shared" si="1"/>
        <v>1.38</v>
      </c>
    </row>
    <row r="50" spans="1:8" ht="28.5" customHeight="1">
      <c r="A50" s="920"/>
      <c r="B50" s="912" t="s">
        <v>811</v>
      </c>
      <c r="C50" s="913">
        <v>45000</v>
      </c>
      <c r="D50" s="913">
        <v>41000000</v>
      </c>
      <c r="E50" s="913"/>
      <c r="F50" s="913"/>
      <c r="G50" s="913">
        <f t="shared" si="0"/>
        <v>41000000</v>
      </c>
      <c r="H50" s="986">
        <f t="shared" si="1"/>
        <v>0.91</v>
      </c>
    </row>
    <row r="51" spans="1:8" ht="28.5" customHeight="1">
      <c r="A51" s="920"/>
      <c r="B51" s="912" t="s">
        <v>812</v>
      </c>
      <c r="C51" s="913">
        <v>31500</v>
      </c>
      <c r="D51" s="913">
        <v>24000000</v>
      </c>
      <c r="E51" s="913"/>
      <c r="F51" s="913"/>
      <c r="G51" s="913">
        <f t="shared" si="0"/>
        <v>24000000</v>
      </c>
      <c r="H51" s="986">
        <f t="shared" si="1"/>
        <v>0.76</v>
      </c>
    </row>
    <row r="52" spans="1:8" ht="28.5" customHeight="1">
      <c r="A52" s="920"/>
      <c r="B52" s="912" t="s">
        <v>900</v>
      </c>
      <c r="C52" s="913">
        <v>3200</v>
      </c>
      <c r="D52" s="913">
        <v>12000000</v>
      </c>
      <c r="E52" s="913"/>
      <c r="F52" s="913"/>
      <c r="G52" s="913">
        <f t="shared" si="0"/>
        <v>12000000</v>
      </c>
      <c r="H52" s="986">
        <f t="shared" si="1"/>
        <v>3.75</v>
      </c>
    </row>
    <row r="53" spans="1:8" ht="28.5" customHeight="1">
      <c r="A53" s="929"/>
      <c r="B53" s="912" t="s">
        <v>813</v>
      </c>
      <c r="C53" s="913">
        <v>118400</v>
      </c>
      <c r="D53" s="913">
        <f>106000000+67500000+25000000</f>
        <v>198500000</v>
      </c>
      <c r="E53" s="913"/>
      <c r="F53" s="913"/>
      <c r="G53" s="913">
        <f t="shared" si="0"/>
        <v>198500000</v>
      </c>
      <c r="H53" s="986">
        <f t="shared" si="1"/>
        <v>1.68</v>
      </c>
    </row>
    <row r="54" spans="1:8" ht="28.5" customHeight="1">
      <c r="A54" s="920"/>
      <c r="B54" s="912" t="s">
        <v>814</v>
      </c>
      <c r="C54" s="913">
        <v>1500</v>
      </c>
      <c r="D54" s="913">
        <v>700000</v>
      </c>
      <c r="E54" s="913"/>
      <c r="F54" s="913"/>
      <c r="G54" s="913">
        <f t="shared" si="0"/>
        <v>700000</v>
      </c>
      <c r="H54" s="986">
        <f t="shared" si="1"/>
        <v>0.47</v>
      </c>
    </row>
    <row r="55" spans="1:8" ht="28.5" customHeight="1">
      <c r="A55" s="920"/>
      <c r="B55" s="912" t="s">
        <v>901</v>
      </c>
      <c r="C55" s="913">
        <v>2000</v>
      </c>
      <c r="D55" s="913">
        <v>9000000</v>
      </c>
      <c r="E55" s="913"/>
      <c r="F55" s="913"/>
      <c r="G55" s="913">
        <f t="shared" si="0"/>
        <v>9000000</v>
      </c>
      <c r="H55" s="986">
        <f t="shared" si="1"/>
        <v>4.5</v>
      </c>
    </row>
    <row r="56" spans="1:8" ht="28.5" customHeight="1">
      <c r="A56" s="920"/>
      <c r="B56" s="912" t="s">
        <v>902</v>
      </c>
      <c r="C56" s="913">
        <v>4500</v>
      </c>
      <c r="D56" s="913">
        <v>5000000</v>
      </c>
      <c r="E56" s="913"/>
      <c r="F56" s="913"/>
      <c r="G56" s="913">
        <f t="shared" si="0"/>
        <v>5000000</v>
      </c>
      <c r="H56" s="986">
        <f t="shared" si="1"/>
        <v>1.11</v>
      </c>
    </row>
    <row r="57" spans="1:8" ht="28.5" customHeight="1">
      <c r="A57" s="920"/>
      <c r="B57" s="912" t="s">
        <v>815</v>
      </c>
      <c r="C57" s="913">
        <v>28000</v>
      </c>
      <c r="D57" s="913">
        <v>32000000</v>
      </c>
      <c r="E57" s="913"/>
      <c r="F57" s="913"/>
      <c r="G57" s="913">
        <f t="shared" si="0"/>
        <v>32000000</v>
      </c>
      <c r="H57" s="986">
        <f t="shared" si="1"/>
        <v>1.14</v>
      </c>
    </row>
    <row r="58" spans="1:8" s="922" customFormat="1" ht="28.5" customHeight="1">
      <c r="A58" s="919" t="s">
        <v>195</v>
      </c>
      <c r="B58" s="923" t="s">
        <v>196</v>
      </c>
      <c r="C58" s="911">
        <v>6400</v>
      </c>
      <c r="D58" s="990">
        <v>12000000</v>
      </c>
      <c r="E58" s="911"/>
      <c r="F58" s="911"/>
      <c r="G58" s="911">
        <f>SUM(D58:F58)</f>
        <v>12000000</v>
      </c>
      <c r="H58" s="991">
        <f t="shared" si="1"/>
        <v>1.88</v>
      </c>
    </row>
    <row r="59" spans="1:8" s="922" customFormat="1" ht="28.5" customHeight="1">
      <c r="A59" s="919" t="s">
        <v>197</v>
      </c>
      <c r="B59" s="923" t="s">
        <v>198</v>
      </c>
      <c r="C59" s="911">
        <v>64935</v>
      </c>
      <c r="D59" s="990">
        <f>(D50+D51+D52+D53+D54+D55+D56+D57+D58+D65)*27%</f>
        <v>107244000</v>
      </c>
      <c r="E59" s="911"/>
      <c r="F59" s="911"/>
      <c r="G59" s="911">
        <f t="shared" si="0"/>
        <v>107244000</v>
      </c>
      <c r="H59" s="991">
        <f t="shared" si="1"/>
        <v>1.65</v>
      </c>
    </row>
    <row r="60" spans="1:8" ht="28.5" customHeight="1">
      <c r="A60" s="919" t="s">
        <v>199</v>
      </c>
      <c r="B60" s="923" t="s">
        <v>200</v>
      </c>
      <c r="C60" s="911">
        <f>SUM(C61:C61)</f>
        <v>11000</v>
      </c>
      <c r="D60" s="911">
        <f>SUM(D61:D61)</f>
        <v>5000000</v>
      </c>
      <c r="E60" s="911">
        <f>SUM(E61:E61)</f>
        <v>0</v>
      </c>
      <c r="F60" s="911">
        <f>SUM(F61:F61)</f>
        <v>0</v>
      </c>
      <c r="G60" s="911">
        <f t="shared" si="0"/>
        <v>5000000</v>
      </c>
      <c r="H60" s="1005">
        <f t="shared" si="1"/>
        <v>0.45</v>
      </c>
    </row>
    <row r="61" spans="1:8" ht="28.5" customHeight="1">
      <c r="A61" s="920"/>
      <c r="B61" s="912" t="s">
        <v>1077</v>
      </c>
      <c r="C61" s="913">
        <v>11000</v>
      </c>
      <c r="D61" s="913">
        <v>5000000</v>
      </c>
      <c r="E61" s="913"/>
      <c r="F61" s="913"/>
      <c r="G61" s="913">
        <f t="shared" si="0"/>
        <v>5000000</v>
      </c>
      <c r="H61" s="986">
        <f t="shared" si="1"/>
        <v>0.45</v>
      </c>
    </row>
    <row r="62" spans="1:8" ht="28.5" customHeight="1" thickBot="1">
      <c r="A62" s="930" t="s">
        <v>803</v>
      </c>
      <c r="B62" s="931" t="s">
        <v>804</v>
      </c>
      <c r="C62" s="932">
        <v>14000</v>
      </c>
      <c r="D62" s="932">
        <v>14000</v>
      </c>
      <c r="E62" s="932"/>
      <c r="F62" s="932"/>
      <c r="G62" s="932">
        <f aca="true" t="shared" si="2" ref="G62:G91">SUM(D62:F62)</f>
        <v>14000</v>
      </c>
      <c r="H62" s="1734">
        <f t="shared" si="1"/>
        <v>0</v>
      </c>
    </row>
    <row r="63" spans="1:8" ht="28.5" customHeight="1" thickBot="1">
      <c r="A63" s="921" t="s">
        <v>486</v>
      </c>
      <c r="B63" s="925" t="s">
        <v>157</v>
      </c>
      <c r="C63" s="915">
        <f>C64</f>
        <v>78867</v>
      </c>
      <c r="D63" s="915">
        <f>D64</f>
        <v>233700000</v>
      </c>
      <c r="E63" s="915">
        <f>E64</f>
        <v>0</v>
      </c>
      <c r="F63" s="915">
        <f>F64</f>
        <v>0</v>
      </c>
      <c r="G63" s="915">
        <f t="shared" si="2"/>
        <v>233700000</v>
      </c>
      <c r="H63" s="1007">
        <f aca="true" t="shared" si="3" ref="H63:H91">G63/(C63*1000)</f>
        <v>2.96</v>
      </c>
    </row>
    <row r="64" spans="1:8" ht="28.5" customHeight="1">
      <c r="A64" s="1000" t="s">
        <v>467</v>
      </c>
      <c r="B64" s="1001" t="s">
        <v>468</v>
      </c>
      <c r="C64" s="1002">
        <f>SUM(C65:C67)</f>
        <v>78867</v>
      </c>
      <c r="D64" s="1002">
        <f>SUM(D65:D67)</f>
        <v>233700000</v>
      </c>
      <c r="E64" s="1002">
        <f>SUM(E65:E67)</f>
        <v>0</v>
      </c>
      <c r="F64" s="1002">
        <f>SUM(F65:F67)</f>
        <v>0</v>
      </c>
      <c r="G64" s="1002">
        <f t="shared" si="2"/>
        <v>233700000</v>
      </c>
      <c r="H64" s="1008">
        <f t="shared" si="3"/>
        <v>2.96</v>
      </c>
    </row>
    <row r="65" spans="1:8" ht="28.5" customHeight="1">
      <c r="A65" s="920"/>
      <c r="B65" s="912" t="s">
        <v>926</v>
      </c>
      <c r="C65" s="913"/>
      <c r="D65" s="913">
        <v>63000000</v>
      </c>
      <c r="E65" s="913"/>
      <c r="F65" s="913"/>
      <c r="G65" s="913">
        <f t="shared" si="2"/>
        <v>63000000</v>
      </c>
      <c r="H65" s="986"/>
    </row>
    <row r="66" spans="1:8" ht="28.5" customHeight="1">
      <c r="A66" s="920"/>
      <c r="B66" s="912" t="s">
        <v>927</v>
      </c>
      <c r="C66" s="913">
        <v>9292</v>
      </c>
      <c r="D66" s="913">
        <v>8700000</v>
      </c>
      <c r="E66" s="913"/>
      <c r="F66" s="913"/>
      <c r="G66" s="913">
        <f t="shared" si="2"/>
        <v>8700000</v>
      </c>
      <c r="H66" s="986">
        <f t="shared" si="3"/>
        <v>0.94</v>
      </c>
    </row>
    <row r="67" spans="1:8" ht="28.5" customHeight="1" thickBot="1">
      <c r="A67" s="1003"/>
      <c r="B67" s="979" t="s">
        <v>928</v>
      </c>
      <c r="C67" s="1004">
        <v>69575</v>
      </c>
      <c r="D67" s="1004">
        <v>162000000</v>
      </c>
      <c r="E67" s="1004"/>
      <c r="F67" s="1004"/>
      <c r="G67" s="1004">
        <f t="shared" si="2"/>
        <v>162000000</v>
      </c>
      <c r="H67" s="988">
        <f t="shared" si="3"/>
        <v>2.33</v>
      </c>
    </row>
    <row r="68" spans="1:8" ht="28.5" customHeight="1" thickBot="1">
      <c r="A68" s="921" t="s">
        <v>471</v>
      </c>
      <c r="B68" s="925" t="s">
        <v>475</v>
      </c>
      <c r="C68" s="915"/>
      <c r="D68" s="915"/>
      <c r="E68" s="915"/>
      <c r="F68" s="915"/>
      <c r="G68" s="915">
        <f t="shared" si="2"/>
        <v>0</v>
      </c>
      <c r="H68" s="985"/>
    </row>
    <row r="69" spans="1:8" ht="28.5" customHeight="1" thickBot="1">
      <c r="A69" s="921" t="s">
        <v>473</v>
      </c>
      <c r="B69" s="925" t="s">
        <v>474</v>
      </c>
      <c r="C69" s="915">
        <f>C70</f>
        <v>13984</v>
      </c>
      <c r="D69" s="915">
        <f>D70</f>
        <v>0</v>
      </c>
      <c r="E69" s="915">
        <f>E70</f>
        <v>19400000</v>
      </c>
      <c r="F69" s="915">
        <f>F70</f>
        <v>0</v>
      </c>
      <c r="G69" s="915">
        <f t="shared" si="2"/>
        <v>19400000</v>
      </c>
      <c r="H69" s="1007">
        <f t="shared" si="3"/>
        <v>1.39</v>
      </c>
    </row>
    <row r="70" spans="1:8" ht="28.5" customHeight="1">
      <c r="A70" s="1000" t="s">
        <v>805</v>
      </c>
      <c r="B70" s="1001" t="s">
        <v>472</v>
      </c>
      <c r="C70" s="1002">
        <f>SUM(C71:C72)</f>
        <v>13984</v>
      </c>
      <c r="D70" s="1002">
        <f>SUM(D71:D72)</f>
        <v>0</v>
      </c>
      <c r="E70" s="1002">
        <f>SUM(E71:E72)</f>
        <v>19400000</v>
      </c>
      <c r="F70" s="1002">
        <f>SUM(F71:F72)</f>
        <v>0</v>
      </c>
      <c r="G70" s="1002">
        <f t="shared" si="2"/>
        <v>19400000</v>
      </c>
      <c r="H70" s="1008">
        <f t="shared" si="3"/>
        <v>1.39</v>
      </c>
    </row>
    <row r="71" spans="1:8" ht="28.5" customHeight="1">
      <c r="A71" s="920"/>
      <c r="B71" s="912" t="s">
        <v>816</v>
      </c>
      <c r="C71" s="913">
        <v>1984</v>
      </c>
      <c r="D71" s="913"/>
      <c r="E71" s="913">
        <v>1400000</v>
      </c>
      <c r="F71" s="913"/>
      <c r="G71" s="913">
        <f t="shared" si="2"/>
        <v>1400000</v>
      </c>
      <c r="H71" s="986">
        <f t="shared" si="3"/>
        <v>0.71</v>
      </c>
    </row>
    <row r="72" spans="1:8" ht="28.5" customHeight="1" thickBot="1">
      <c r="A72" s="920"/>
      <c r="B72" s="912" t="s">
        <v>817</v>
      </c>
      <c r="C72" s="913">
        <v>12000</v>
      </c>
      <c r="D72" s="913"/>
      <c r="E72" s="913">
        <v>18000000</v>
      </c>
      <c r="F72" s="913"/>
      <c r="G72" s="913">
        <f t="shared" si="2"/>
        <v>18000000</v>
      </c>
      <c r="H72" s="986">
        <f t="shared" si="3"/>
        <v>1.5</v>
      </c>
    </row>
    <row r="73" spans="1:8" ht="28.5" customHeight="1" thickBot="1">
      <c r="A73" s="1050" t="s">
        <v>476</v>
      </c>
      <c r="B73" s="1051" t="s">
        <v>286</v>
      </c>
      <c r="C73" s="1052">
        <f>C3+C25+C32+C48+C63+C68+C69</f>
        <v>7384797</v>
      </c>
      <c r="D73" s="1052">
        <f>D3+D25+D32+D48+D63+D68+D69</f>
        <v>8537577689</v>
      </c>
      <c r="E73" s="1052">
        <f>E3+E25+E32+E48+E63+E68+E69</f>
        <v>38400000</v>
      </c>
      <c r="F73" s="1052">
        <f>F3+F25+F32+F48+F63+F68+F69</f>
        <v>14500000</v>
      </c>
      <c r="G73" s="1053">
        <f t="shared" si="2"/>
        <v>8590477689</v>
      </c>
      <c r="H73" s="1054">
        <f t="shared" si="3"/>
        <v>1.16</v>
      </c>
    </row>
    <row r="74" spans="1:8" ht="28.5" customHeight="1" thickBot="1">
      <c r="A74" s="1050" t="s">
        <v>477</v>
      </c>
      <c r="B74" s="1051" t="s">
        <v>478</v>
      </c>
      <c r="C74" s="1052">
        <f>C75</f>
        <v>1290000</v>
      </c>
      <c r="D74" s="1052">
        <f>D75</f>
        <v>1861000000</v>
      </c>
      <c r="E74" s="1052">
        <f>E75</f>
        <v>0</v>
      </c>
      <c r="F74" s="1052">
        <f>F75</f>
        <v>0</v>
      </c>
      <c r="G74" s="1053">
        <f t="shared" si="2"/>
        <v>1861000000</v>
      </c>
      <c r="H74" s="1054">
        <f t="shared" si="3"/>
        <v>1.44</v>
      </c>
    </row>
    <row r="75" spans="1:8" ht="28.5" customHeight="1">
      <c r="A75" s="1130" t="s">
        <v>483</v>
      </c>
      <c r="B75" s="1131" t="s">
        <v>484</v>
      </c>
      <c r="C75" s="1132">
        <f>+C76+C81</f>
        <v>1290000</v>
      </c>
      <c r="D75" s="1132">
        <f>+D76+D81</f>
        <v>1861000000</v>
      </c>
      <c r="E75" s="1132">
        <f>+E76+E81</f>
        <v>0</v>
      </c>
      <c r="F75" s="1132">
        <f>+F76+F81</f>
        <v>0</v>
      </c>
      <c r="G75" s="1132">
        <f t="shared" si="2"/>
        <v>1861000000</v>
      </c>
      <c r="H75" s="1133">
        <f t="shared" si="3"/>
        <v>1.44</v>
      </c>
    </row>
    <row r="76" spans="1:8" ht="28.5" customHeight="1">
      <c r="A76" s="918"/>
      <c r="B76" s="924" t="s">
        <v>1074</v>
      </c>
      <c r="C76" s="917">
        <f>+C77</f>
        <v>1290000</v>
      </c>
      <c r="D76" s="917">
        <f>+D77</f>
        <v>1300000000</v>
      </c>
      <c r="E76" s="917">
        <f>+E77</f>
        <v>0</v>
      </c>
      <c r="F76" s="917">
        <f>+F77</f>
        <v>0</v>
      </c>
      <c r="G76" s="917">
        <f>+G77</f>
        <v>1300000000</v>
      </c>
      <c r="H76" s="1006">
        <f t="shared" si="3"/>
        <v>1.01</v>
      </c>
    </row>
    <row r="77" spans="1:8" ht="28.5" customHeight="1">
      <c r="A77" s="919" t="s">
        <v>481</v>
      </c>
      <c r="B77" s="923" t="s">
        <v>482</v>
      </c>
      <c r="C77" s="911">
        <v>1290000</v>
      </c>
      <c r="D77" s="911">
        <f>D78</f>
        <v>1300000000</v>
      </c>
      <c r="E77" s="911">
        <f>E78</f>
        <v>0</v>
      </c>
      <c r="F77" s="911">
        <f>F78</f>
        <v>0</v>
      </c>
      <c r="G77" s="911">
        <f t="shared" si="2"/>
        <v>1300000000</v>
      </c>
      <c r="H77" s="1005">
        <f t="shared" si="3"/>
        <v>1.01</v>
      </c>
    </row>
    <row r="78" spans="1:8" ht="28.5" customHeight="1">
      <c r="A78" s="919" t="s">
        <v>479</v>
      </c>
      <c r="B78" s="923" t="s">
        <v>480</v>
      </c>
      <c r="C78" s="911">
        <f>SUM(C79:C80)</f>
        <v>1290000</v>
      </c>
      <c r="D78" s="911">
        <f>SUM(D79:D80)</f>
        <v>1300000000</v>
      </c>
      <c r="E78" s="911">
        <f>SUM(E79:E80)</f>
        <v>0</v>
      </c>
      <c r="F78" s="911">
        <f>SUM(F79:F80)</f>
        <v>0</v>
      </c>
      <c r="G78" s="911">
        <f t="shared" si="2"/>
        <v>1300000000</v>
      </c>
      <c r="H78" s="1005">
        <f t="shared" si="3"/>
        <v>1.01</v>
      </c>
    </row>
    <row r="79" spans="1:8" ht="28.5" customHeight="1">
      <c r="A79" s="920"/>
      <c r="B79" s="912" t="s">
        <v>241</v>
      </c>
      <c r="C79" s="913">
        <v>111403</v>
      </c>
      <c r="D79" s="913">
        <v>117361138</v>
      </c>
      <c r="E79" s="913"/>
      <c r="F79" s="913"/>
      <c r="G79" s="913">
        <f t="shared" si="2"/>
        <v>117361138</v>
      </c>
      <c r="H79" s="986">
        <f t="shared" si="3"/>
        <v>1.05</v>
      </c>
    </row>
    <row r="80" spans="1:8" ht="28.5" customHeight="1">
      <c r="A80" s="920"/>
      <c r="B80" s="912" t="s">
        <v>242</v>
      </c>
      <c r="C80" s="913">
        <v>1178597</v>
      </c>
      <c r="D80" s="913">
        <f>1300000000-D79</f>
        <v>1182638862</v>
      </c>
      <c r="E80" s="913"/>
      <c r="F80" s="913"/>
      <c r="G80" s="913">
        <f t="shared" si="2"/>
        <v>1182638862</v>
      </c>
      <c r="H80" s="986">
        <f t="shared" si="3"/>
        <v>1</v>
      </c>
    </row>
    <row r="81" spans="1:8" ht="28.5" customHeight="1">
      <c r="A81" s="920"/>
      <c r="B81" s="924" t="s">
        <v>1075</v>
      </c>
      <c r="C81" s="924">
        <f>+C82</f>
        <v>0</v>
      </c>
      <c r="D81" s="917">
        <f>+D82</f>
        <v>561000000</v>
      </c>
      <c r="E81" s="917">
        <f>+E82</f>
        <v>0</v>
      </c>
      <c r="F81" s="917">
        <f>+F82</f>
        <v>0</v>
      </c>
      <c r="G81" s="917">
        <f t="shared" si="2"/>
        <v>561000000</v>
      </c>
      <c r="H81" s="1134"/>
    </row>
    <row r="82" spans="1:8" ht="28.5" customHeight="1" thickBot="1">
      <c r="A82" s="919" t="s">
        <v>1173</v>
      </c>
      <c r="B82" s="923" t="s">
        <v>1076</v>
      </c>
      <c r="C82" s="911"/>
      <c r="D82" s="911">
        <v>561000000</v>
      </c>
      <c r="E82" s="911"/>
      <c r="F82" s="911"/>
      <c r="G82" s="911">
        <f t="shared" si="2"/>
        <v>561000000</v>
      </c>
      <c r="H82" s="1005"/>
    </row>
    <row r="83" spans="1:8" ht="28.5" customHeight="1" thickBot="1">
      <c r="A83" s="1522"/>
      <c r="B83" s="1082" t="s">
        <v>485</v>
      </c>
      <c r="C83" s="1083">
        <f>C73+C74</f>
        <v>8674797</v>
      </c>
      <c r="D83" s="1083">
        <f>D73+D74</f>
        <v>10398577689</v>
      </c>
      <c r="E83" s="1083">
        <f>E73+E74</f>
        <v>38400000</v>
      </c>
      <c r="F83" s="1083">
        <f>F73+F74</f>
        <v>14500000</v>
      </c>
      <c r="G83" s="1083">
        <f t="shared" si="2"/>
        <v>10451477689</v>
      </c>
      <c r="H83" s="1523">
        <f t="shared" si="3"/>
        <v>1.2</v>
      </c>
    </row>
    <row r="84" spans="1:8" ht="28.5" customHeight="1" thickBot="1">
      <c r="A84" s="933"/>
      <c r="B84" s="934"/>
      <c r="C84" s="933"/>
      <c r="D84" s="933"/>
      <c r="E84" s="933"/>
      <c r="F84" s="933"/>
      <c r="G84" s="933"/>
      <c r="H84" s="980"/>
    </row>
    <row r="85" spans="1:8" ht="28.5" customHeight="1">
      <c r="A85" s="935"/>
      <c r="B85" s="936" t="s">
        <v>549</v>
      </c>
      <c r="C85" s="937">
        <f>C3+C32+C48+C68</f>
        <v>7242148</v>
      </c>
      <c r="D85" s="937">
        <f>D3+D32+D48+D68</f>
        <v>7303877689</v>
      </c>
      <c r="E85" s="937">
        <f>E3+E32+E48+E68</f>
        <v>0</v>
      </c>
      <c r="F85" s="937">
        <f>F3+F32+F48+F68</f>
        <v>14500000</v>
      </c>
      <c r="G85" s="937">
        <f>G3+G32+G48+G68</f>
        <v>7318377689</v>
      </c>
      <c r="H85" s="992">
        <f t="shared" si="3"/>
        <v>1.01</v>
      </c>
    </row>
    <row r="86" spans="1:8" ht="28.5" customHeight="1">
      <c r="A86" s="909"/>
      <c r="B86" s="906" t="s">
        <v>550</v>
      </c>
      <c r="C86" s="910">
        <f>C25+C63+C70</f>
        <v>142649</v>
      </c>
      <c r="D86" s="910">
        <f>D25+D63+D70</f>
        <v>1233700000</v>
      </c>
      <c r="E86" s="910">
        <f>E25+E63+E70</f>
        <v>38400000</v>
      </c>
      <c r="F86" s="910">
        <f>F25+F63+F70</f>
        <v>0</v>
      </c>
      <c r="G86" s="910">
        <f>G25+G63+G70</f>
        <v>1272100000</v>
      </c>
      <c r="H86" s="993">
        <f t="shared" si="3"/>
        <v>8.92</v>
      </c>
    </row>
    <row r="87" spans="1:8" ht="28.5" customHeight="1">
      <c r="A87" s="909"/>
      <c r="B87" s="906" t="s">
        <v>551</v>
      </c>
      <c r="C87" s="910">
        <f>C79</f>
        <v>111403</v>
      </c>
      <c r="D87" s="910">
        <f>+D79</f>
        <v>117361138</v>
      </c>
      <c r="E87" s="910">
        <f>E79</f>
        <v>0</v>
      </c>
      <c r="F87" s="910">
        <f>F79</f>
        <v>0</v>
      </c>
      <c r="G87" s="910">
        <f t="shared" si="2"/>
        <v>117361138</v>
      </c>
      <c r="H87" s="993">
        <f t="shared" si="3"/>
        <v>1.05</v>
      </c>
    </row>
    <row r="88" spans="1:8" ht="28.5" customHeight="1" thickBot="1">
      <c r="A88" s="938"/>
      <c r="B88" s="939" t="s">
        <v>552</v>
      </c>
      <c r="C88" s="940">
        <f>C80</f>
        <v>1178597</v>
      </c>
      <c r="D88" s="940">
        <f>+D80+D82</f>
        <v>1743638862</v>
      </c>
      <c r="E88" s="940">
        <f>+E80+E82</f>
        <v>0</v>
      </c>
      <c r="F88" s="940">
        <f>+F80+F82</f>
        <v>0</v>
      </c>
      <c r="G88" s="940">
        <f t="shared" si="2"/>
        <v>1743638862</v>
      </c>
      <c r="H88" s="994">
        <f t="shared" si="3"/>
        <v>1.48</v>
      </c>
    </row>
    <row r="89" spans="1:8" ht="28.5" customHeight="1">
      <c r="A89" s="941"/>
      <c r="B89" s="942" t="s">
        <v>553</v>
      </c>
      <c r="C89" s="943">
        <f>C85+C87</f>
        <v>7353551</v>
      </c>
      <c r="D89" s="943">
        <f aca="true" t="shared" si="4" ref="D89:F90">D85+D87</f>
        <v>7421238827</v>
      </c>
      <c r="E89" s="943">
        <f t="shared" si="4"/>
        <v>0</v>
      </c>
      <c r="F89" s="943">
        <f t="shared" si="4"/>
        <v>14500000</v>
      </c>
      <c r="G89" s="943">
        <f t="shared" si="2"/>
        <v>7435738827</v>
      </c>
      <c r="H89" s="1010">
        <f t="shared" si="3"/>
        <v>1.01</v>
      </c>
    </row>
    <row r="90" spans="1:8" ht="28.5" customHeight="1" thickBot="1">
      <c r="A90" s="944"/>
      <c r="B90" s="945" t="s">
        <v>554</v>
      </c>
      <c r="C90" s="946">
        <f>C86+C88</f>
        <v>1321246</v>
      </c>
      <c r="D90" s="946">
        <f t="shared" si="4"/>
        <v>2977338862</v>
      </c>
      <c r="E90" s="946">
        <f t="shared" si="4"/>
        <v>38400000</v>
      </c>
      <c r="F90" s="947">
        <f t="shared" si="4"/>
        <v>0</v>
      </c>
      <c r="G90" s="946">
        <f t="shared" si="2"/>
        <v>3015738862</v>
      </c>
      <c r="H90" s="1011">
        <f t="shared" si="3"/>
        <v>2.28</v>
      </c>
    </row>
    <row r="91" spans="1:8" ht="28.5" customHeight="1" thickBot="1">
      <c r="A91" s="907"/>
      <c r="B91" s="914" t="s">
        <v>555</v>
      </c>
      <c r="C91" s="908">
        <f>C89+C90</f>
        <v>8674797</v>
      </c>
      <c r="D91" s="908">
        <f>D89+D90</f>
        <v>10398577689</v>
      </c>
      <c r="E91" s="908">
        <f>E89+E90</f>
        <v>38400000</v>
      </c>
      <c r="F91" s="908">
        <f>F89+F90</f>
        <v>14500000</v>
      </c>
      <c r="G91" s="908">
        <f t="shared" si="2"/>
        <v>10451477689</v>
      </c>
      <c r="H91" s="1012">
        <f t="shared" si="3"/>
        <v>1.2</v>
      </c>
    </row>
  </sheetData>
  <sheetProtection/>
  <mergeCells count="5">
    <mergeCell ref="A1:A2"/>
    <mergeCell ref="B1:B2"/>
    <mergeCell ref="C1:C2"/>
    <mergeCell ref="D1:G1"/>
    <mergeCell ref="H1:H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0" fitToWidth="1" orientation="portrait" paperSize="9" scale="49" r:id="rId1"/>
  <headerFooter>
    <oddHeader>&amp;C&amp;"Tahoma,Normál"PESTERZSÉBET ÖNKORMÁNYZATÁNAK 
2017. ÉVI BEVÉTELEI&amp;R&amp;"Tahoma,Normál"2.1. sz. melléklet</oddHeader>
  </headerFooter>
  <rowBreaks count="3" manualBreakCount="3">
    <brk id="24" max="7" man="1"/>
    <brk id="47" max="7" man="1"/>
    <brk id="72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40">
      <selection activeCell="F97" sqref="F97"/>
    </sheetView>
  </sheetViews>
  <sheetFormatPr defaultColWidth="9.140625" defaultRowHeight="12.75"/>
  <cols>
    <col min="1" max="1" width="9.140625" style="380" customWidth="1"/>
    <col min="2" max="2" width="72.421875" style="282" bestFit="1" customWidth="1"/>
    <col min="3" max="3" width="19.421875" style="1256" hidden="1" customWidth="1"/>
    <col min="4" max="4" width="17.421875" style="1256" bestFit="1" customWidth="1"/>
    <col min="5" max="5" width="17.421875" style="278" bestFit="1" customWidth="1"/>
    <col min="6" max="6" width="16.28125" style="278" bestFit="1" customWidth="1"/>
    <col min="7" max="7" width="17.421875" style="1185" bestFit="1" customWidth="1"/>
    <col min="8" max="8" width="14.8515625" style="1185" bestFit="1" customWidth="1"/>
    <col min="9" max="16384" width="9.140625" style="278" customWidth="1"/>
  </cols>
  <sheetData>
    <row r="1" spans="1:6" ht="39" thickBot="1">
      <c r="A1" s="948"/>
      <c r="B1" s="949" t="s">
        <v>728</v>
      </c>
      <c r="C1" s="1183" t="s">
        <v>875</v>
      </c>
      <c r="D1" s="1183" t="s">
        <v>72</v>
      </c>
      <c r="E1" s="1183" t="s">
        <v>73</v>
      </c>
      <c r="F1" s="1184" t="s">
        <v>74</v>
      </c>
    </row>
    <row r="2" spans="1:6" ht="18" customHeight="1" thickBot="1">
      <c r="A2" s="1186" t="s">
        <v>356</v>
      </c>
      <c r="B2" s="950" t="s">
        <v>876</v>
      </c>
      <c r="C2" s="1187"/>
      <c r="D2" s="1187"/>
      <c r="E2" s="951"/>
      <c r="F2" s="952"/>
    </row>
    <row r="3" spans="1:6" ht="18" customHeight="1">
      <c r="A3" s="1015" t="s">
        <v>357</v>
      </c>
      <c r="B3" s="953" t="s">
        <v>358</v>
      </c>
      <c r="C3" s="1188">
        <f>SUM(C4:C4)</f>
        <v>531830</v>
      </c>
      <c r="D3" s="1188">
        <f>SUM(D4:D4)</f>
        <v>531692200</v>
      </c>
      <c r="E3" s="1188">
        <f>SUM(E4:E4)</f>
        <v>531692200</v>
      </c>
      <c r="F3" s="1189">
        <f>SUM(F4:F4)</f>
        <v>0</v>
      </c>
    </row>
    <row r="4" spans="1:6" ht="25.5">
      <c r="A4" s="1016"/>
      <c r="B4" s="367" t="s">
        <v>1111</v>
      </c>
      <c r="C4" s="1190">
        <v>531830</v>
      </c>
      <c r="D4" s="1190">
        <v>531692200</v>
      </c>
      <c r="E4" s="1191">
        <v>531692200</v>
      </c>
      <c r="F4" s="1192">
        <f>D4-E4</f>
        <v>0</v>
      </c>
    </row>
    <row r="5" spans="1:6" ht="18" customHeight="1">
      <c r="A5" s="1017" t="s">
        <v>359</v>
      </c>
      <c r="B5" s="954" t="s">
        <v>360</v>
      </c>
      <c r="C5" s="1193">
        <f>SUM(C6:C9)</f>
        <v>97032</v>
      </c>
      <c r="D5" s="1193">
        <f>SUM(D6:D9)</f>
        <v>97261120</v>
      </c>
      <c r="E5" s="1194">
        <f>SUM(E6:E9)</f>
        <v>97261120</v>
      </c>
      <c r="F5" s="1195">
        <f>SUM(F6:F9)</f>
        <v>0</v>
      </c>
    </row>
    <row r="6" spans="1:6" ht="18" customHeight="1">
      <c r="A6" s="1016"/>
      <c r="B6" s="955" t="s">
        <v>361</v>
      </c>
      <c r="C6" s="1196">
        <v>25114</v>
      </c>
      <c r="D6" s="1197">
        <v>25341720</v>
      </c>
      <c r="E6" s="1191">
        <v>25341720</v>
      </c>
      <c r="F6" s="1192">
        <f>D6-E6</f>
        <v>0</v>
      </c>
    </row>
    <row r="7" spans="1:6" ht="18" customHeight="1">
      <c r="A7" s="1016"/>
      <c r="B7" s="956" t="s">
        <v>362</v>
      </c>
      <c r="C7" s="1190"/>
      <c r="D7" s="1190"/>
      <c r="E7" s="1191"/>
      <c r="F7" s="1192"/>
    </row>
    <row r="8" spans="1:6" ht="18" customHeight="1">
      <c r="A8" s="1016"/>
      <c r="B8" s="956" t="s">
        <v>363</v>
      </c>
      <c r="C8" s="1190"/>
      <c r="D8" s="1198"/>
      <c r="E8" s="1191"/>
      <c r="F8" s="1192"/>
    </row>
    <row r="9" spans="1:6" ht="18" customHeight="1">
      <c r="A9" s="1016"/>
      <c r="B9" s="369" t="s">
        <v>375</v>
      </c>
      <c r="C9" s="1190">
        <v>71918</v>
      </c>
      <c r="D9" s="1198">
        <v>71919400</v>
      </c>
      <c r="E9" s="1191">
        <v>71919400</v>
      </c>
      <c r="F9" s="1192">
        <f>D9-E9</f>
        <v>0</v>
      </c>
    </row>
    <row r="10" spans="1:6" ht="18" customHeight="1">
      <c r="A10" s="1017" t="s">
        <v>376</v>
      </c>
      <c r="B10" s="954" t="s">
        <v>75</v>
      </c>
      <c r="C10" s="1190">
        <v>174050</v>
      </c>
      <c r="D10" s="1199">
        <v>173885400</v>
      </c>
      <c r="E10" s="1194">
        <v>173885400</v>
      </c>
      <c r="F10" s="1195">
        <f>D10-E10</f>
        <v>0</v>
      </c>
    </row>
    <row r="11" spans="1:6" ht="18" customHeight="1">
      <c r="A11" s="1017" t="s">
        <v>210</v>
      </c>
      <c r="B11" s="1108" t="s">
        <v>1261</v>
      </c>
      <c r="C11" s="1190"/>
      <c r="D11" s="1199">
        <v>7650</v>
      </c>
      <c r="E11" s="1194">
        <v>7650</v>
      </c>
      <c r="F11" s="1195">
        <f>D11-E11</f>
        <v>0</v>
      </c>
    </row>
    <row r="12" spans="1:6" ht="18" customHeight="1">
      <c r="A12" s="1017" t="s">
        <v>877</v>
      </c>
      <c r="B12" s="1108" t="s">
        <v>878</v>
      </c>
      <c r="C12" s="1190"/>
      <c r="D12" s="1199">
        <v>435000</v>
      </c>
      <c r="E12" s="1200">
        <v>435000</v>
      </c>
      <c r="F12" s="1195">
        <f>D12-E12</f>
        <v>0</v>
      </c>
    </row>
    <row r="13" spans="1:6" ht="18" customHeight="1">
      <c r="A13" s="1017" t="s">
        <v>1112</v>
      </c>
      <c r="B13" s="1108" t="s">
        <v>1113</v>
      </c>
      <c r="C13" s="1190"/>
      <c r="D13" s="1199">
        <v>-999734494</v>
      </c>
      <c r="E13" s="1200">
        <f>-(+E3+E5+E10+E11+E12)</f>
        <v>-803281370</v>
      </c>
      <c r="F13" s="1195"/>
    </row>
    <row r="14" spans="1:6" ht="18" customHeight="1">
      <c r="A14" s="1017" t="s">
        <v>1114</v>
      </c>
      <c r="B14" s="1108" t="s">
        <v>1262</v>
      </c>
      <c r="C14" s="1190"/>
      <c r="D14" s="1199">
        <v>196453124</v>
      </c>
      <c r="E14" s="1200"/>
      <c r="F14" s="1195"/>
    </row>
    <row r="15" spans="1:6" ht="18" customHeight="1" thickBot="1">
      <c r="A15" s="982" t="s">
        <v>1115</v>
      </c>
      <c r="B15" s="983" t="s">
        <v>1116</v>
      </c>
      <c r="C15" s="1201"/>
      <c r="D15" s="1725"/>
      <c r="E15" s="1257">
        <v>88403906</v>
      </c>
      <c r="F15" s="1726"/>
    </row>
    <row r="16" spans="1:6" ht="18" customHeight="1" thickBot="1">
      <c r="A16" s="399"/>
      <c r="B16" s="1109" t="s">
        <v>65</v>
      </c>
      <c r="C16" s="1202">
        <f>C3+C5+C10</f>
        <v>802912</v>
      </c>
      <c r="D16" s="1202">
        <f>+D3+D5+D10+D11+D12-D13+D14</f>
        <v>1999468988</v>
      </c>
      <c r="E16" s="1202" t="s">
        <v>1117</v>
      </c>
      <c r="F16" s="1203">
        <f>F3+F5+F10+F11+F12+F15</f>
        <v>0</v>
      </c>
    </row>
    <row r="17" spans="1:8" s="372" customFormat="1" ht="18" customHeight="1" thickBot="1">
      <c r="A17" s="370"/>
      <c r="B17" s="371"/>
      <c r="C17" s="1204"/>
      <c r="D17" s="1204"/>
      <c r="G17" s="1185"/>
      <c r="H17" s="1205"/>
    </row>
    <row r="18" spans="1:6" ht="39" thickBot="1">
      <c r="A18" s="1206" t="s">
        <v>377</v>
      </c>
      <c r="B18" s="456" t="s">
        <v>378</v>
      </c>
      <c r="C18" s="1207" t="s">
        <v>875</v>
      </c>
      <c r="D18" s="1207" t="s">
        <v>72</v>
      </c>
      <c r="E18" s="1207" t="s">
        <v>73</v>
      </c>
      <c r="F18" s="1208" t="s">
        <v>74</v>
      </c>
    </row>
    <row r="19" spans="1:6" ht="27">
      <c r="A19" s="365" t="s">
        <v>379</v>
      </c>
      <c r="B19" s="958" t="s">
        <v>380</v>
      </c>
      <c r="C19" s="1209">
        <f>C20+C24</f>
        <v>953002</v>
      </c>
      <c r="D19" s="1210">
        <f>D20+D24</f>
        <v>958544047</v>
      </c>
      <c r="E19" s="1211">
        <f>E20+E24</f>
        <v>0</v>
      </c>
      <c r="F19" s="1212">
        <f>F20+F24</f>
        <v>958544047</v>
      </c>
    </row>
    <row r="20" spans="1:6" ht="18" customHeight="1">
      <c r="A20" s="457"/>
      <c r="B20" s="959" t="s">
        <v>879</v>
      </c>
      <c r="C20" s="1213">
        <f>C21+C22</f>
        <v>635994</v>
      </c>
      <c r="D20" s="1214">
        <f>SUM(D21:D23)</f>
        <v>638652880</v>
      </c>
      <c r="E20" s="1215">
        <f>SUM(E21:E23)</f>
        <v>0</v>
      </c>
      <c r="F20" s="1216">
        <f>SUM(F21:F23)</f>
        <v>638652880</v>
      </c>
    </row>
    <row r="21" spans="1:6" ht="18" customHeight="1">
      <c r="A21" s="366" t="s">
        <v>880</v>
      </c>
      <c r="B21" s="960" t="s">
        <v>881</v>
      </c>
      <c r="C21" s="1217">
        <v>488394</v>
      </c>
      <c r="D21" s="1218">
        <v>485133147</v>
      </c>
      <c r="E21" s="458"/>
      <c r="F21" s="1219">
        <f>D21-E21</f>
        <v>485133147</v>
      </c>
    </row>
    <row r="22" spans="1:6" ht="25.5">
      <c r="A22" s="366" t="s">
        <v>882</v>
      </c>
      <c r="B22" s="961" t="s">
        <v>1251</v>
      </c>
      <c r="C22" s="1198">
        <v>147600</v>
      </c>
      <c r="D22" s="1218">
        <v>141600000</v>
      </c>
      <c r="E22" s="458"/>
      <c r="F22" s="1219">
        <f>D22-E22</f>
        <v>141600000</v>
      </c>
    </row>
    <row r="23" spans="1:6" ht="25.5">
      <c r="A23" s="366" t="s">
        <v>883</v>
      </c>
      <c r="B23" s="961" t="s">
        <v>1252</v>
      </c>
      <c r="C23" s="1198"/>
      <c r="D23" s="1218">
        <v>11919733</v>
      </c>
      <c r="E23" s="962"/>
      <c r="F23" s="1219">
        <f>D23-E23</f>
        <v>11919733</v>
      </c>
    </row>
    <row r="24" spans="1:6" ht="18" customHeight="1">
      <c r="A24" s="457"/>
      <c r="B24" s="959" t="s">
        <v>884</v>
      </c>
      <c r="C24" s="1213">
        <f>SUM(C25:C27)</f>
        <v>317008</v>
      </c>
      <c r="D24" s="1214">
        <f>SUM(D25:D29)</f>
        <v>319891167</v>
      </c>
      <c r="E24" s="1215">
        <f>SUM(E25:E29)</f>
        <v>0</v>
      </c>
      <c r="F24" s="1216">
        <f>SUM(F25:F29)</f>
        <v>319891167</v>
      </c>
    </row>
    <row r="25" spans="1:6" ht="18" customHeight="1">
      <c r="A25" s="366" t="s">
        <v>885</v>
      </c>
      <c r="B25" s="961" t="s">
        <v>881</v>
      </c>
      <c r="C25" s="1217">
        <v>237109</v>
      </c>
      <c r="D25" s="1218">
        <v>236904700</v>
      </c>
      <c r="E25" s="458"/>
      <c r="F25" s="1219">
        <f>D25-E25</f>
        <v>236904700</v>
      </c>
    </row>
    <row r="26" spans="1:6" ht="25.5">
      <c r="A26" s="963" t="s">
        <v>886</v>
      </c>
      <c r="B26" s="961" t="s">
        <v>1251</v>
      </c>
      <c r="C26" s="1217">
        <v>6099</v>
      </c>
      <c r="D26" s="1218">
        <v>70800000</v>
      </c>
      <c r="E26" s="458"/>
      <c r="F26" s="1219">
        <f>D26-E26</f>
        <v>70800000</v>
      </c>
    </row>
    <row r="27" spans="1:6" ht="25.5">
      <c r="A27" s="366" t="s">
        <v>887</v>
      </c>
      <c r="B27" s="961" t="s">
        <v>1252</v>
      </c>
      <c r="C27" s="1217">
        <v>73800</v>
      </c>
      <c r="D27" s="1218">
        <v>5959867</v>
      </c>
      <c r="E27" s="458"/>
      <c r="F27" s="1219">
        <f>D27-E27</f>
        <v>5959867</v>
      </c>
    </row>
    <row r="28" spans="1:6" ht="12.75">
      <c r="A28" s="366" t="s">
        <v>888</v>
      </c>
      <c r="B28" s="961" t="s">
        <v>889</v>
      </c>
      <c r="C28" s="1217"/>
      <c r="D28" s="1218">
        <v>6073800</v>
      </c>
      <c r="E28" s="962"/>
      <c r="F28" s="1219">
        <f>D28-E28</f>
        <v>6073800</v>
      </c>
    </row>
    <row r="29" spans="1:6" ht="25.5">
      <c r="A29" s="366" t="s">
        <v>890</v>
      </c>
      <c r="B29" s="961" t="s">
        <v>1253</v>
      </c>
      <c r="C29" s="1217"/>
      <c r="D29" s="1218">
        <v>152800</v>
      </c>
      <c r="E29" s="962"/>
      <c r="F29" s="1219">
        <f>D29-E29</f>
        <v>152800</v>
      </c>
    </row>
    <row r="30" spans="1:6" ht="18" customHeight="1">
      <c r="A30" s="368" t="s">
        <v>383</v>
      </c>
      <c r="B30" s="964" t="s">
        <v>384</v>
      </c>
      <c r="C30" s="1220" t="e">
        <f>#REF!+#REF!</f>
        <v>#REF!</v>
      </c>
      <c r="D30" s="1221">
        <f>SUM(D31:D32)</f>
        <v>148339967</v>
      </c>
      <c r="E30" s="1221">
        <f>SUM(E31:E32)</f>
        <v>0</v>
      </c>
      <c r="F30" s="1222">
        <f>SUM(F31:F32)</f>
        <v>148339967</v>
      </c>
    </row>
    <row r="31" spans="1:6" ht="18" customHeight="1">
      <c r="A31" s="459" t="s">
        <v>1118</v>
      </c>
      <c r="B31" s="965" t="s">
        <v>1119</v>
      </c>
      <c r="C31" s="1217">
        <v>336</v>
      </c>
      <c r="D31" s="1217">
        <v>99510600</v>
      </c>
      <c r="E31" s="458"/>
      <c r="F31" s="1219">
        <f>D31-E31</f>
        <v>99510600</v>
      </c>
    </row>
    <row r="32" spans="1:6" ht="12.75">
      <c r="A32" s="366" t="s">
        <v>1120</v>
      </c>
      <c r="B32" s="369" t="s">
        <v>1119</v>
      </c>
      <c r="C32" s="1217">
        <v>77915</v>
      </c>
      <c r="D32" s="1218">
        <v>48829367</v>
      </c>
      <c r="E32" s="458"/>
      <c r="F32" s="1219">
        <f>D32-E32</f>
        <v>48829367</v>
      </c>
    </row>
    <row r="33" spans="1:6" ht="18" customHeight="1">
      <c r="A33" s="368" t="s">
        <v>891</v>
      </c>
      <c r="B33" s="964" t="s">
        <v>1254</v>
      </c>
      <c r="C33" s="1220"/>
      <c r="D33" s="1221">
        <f>SUM(D34:D35)</f>
        <v>28436900</v>
      </c>
      <c r="E33" s="1221">
        <f>SUM(E34:E35)</f>
        <v>0</v>
      </c>
      <c r="F33" s="1222">
        <f>SUM(F34:F35)</f>
        <v>28436900</v>
      </c>
    </row>
    <row r="34" spans="1:6" ht="25.5">
      <c r="A34" s="366" t="s">
        <v>1121</v>
      </c>
      <c r="B34" s="369" t="s">
        <v>1255</v>
      </c>
      <c r="C34" s="1217"/>
      <c r="D34" s="1218">
        <v>14661500</v>
      </c>
      <c r="E34" s="458"/>
      <c r="F34" s="1219">
        <f>D34-E34</f>
        <v>14661500</v>
      </c>
    </row>
    <row r="35" spans="1:6" ht="26.25" thickBot="1">
      <c r="A35" s="366" t="s">
        <v>1122</v>
      </c>
      <c r="B35" s="369" t="s">
        <v>1256</v>
      </c>
      <c r="C35" s="1217"/>
      <c r="D35" s="1218">
        <v>13775400</v>
      </c>
      <c r="E35" s="458"/>
      <c r="F35" s="1219">
        <f>D35-E35</f>
        <v>13775400</v>
      </c>
    </row>
    <row r="36" spans="1:6" ht="18" customHeight="1" thickBot="1">
      <c r="A36" s="399"/>
      <c r="B36" s="460" t="s">
        <v>65</v>
      </c>
      <c r="C36" s="461" t="e">
        <f>C19+C30</f>
        <v>#REF!</v>
      </c>
      <c r="D36" s="1727">
        <f>+D19+D30+D33</f>
        <v>1135320914</v>
      </c>
      <c r="E36" s="1727">
        <f>+E19+E30+E33</f>
        <v>0</v>
      </c>
      <c r="F36" s="1728">
        <f>+F19+F30+F33</f>
        <v>1135320914</v>
      </c>
    </row>
    <row r="37" spans="1:4" ht="18" customHeight="1" thickBot="1">
      <c r="A37" s="370"/>
      <c r="B37" s="373"/>
      <c r="C37" s="1223"/>
      <c r="D37" s="1224"/>
    </row>
    <row r="38" spans="1:6" ht="39" thickBot="1">
      <c r="A38" s="1225" t="s">
        <v>784</v>
      </c>
      <c r="B38" s="966" t="s">
        <v>913</v>
      </c>
      <c r="C38" s="1207" t="s">
        <v>875</v>
      </c>
      <c r="D38" s="1226" t="s">
        <v>72</v>
      </c>
      <c r="E38" s="1207" t="s">
        <v>73</v>
      </c>
      <c r="F38" s="1208" t="s">
        <v>74</v>
      </c>
    </row>
    <row r="39" spans="1:8" s="279" customFormat="1" ht="18" customHeight="1">
      <c r="A39" s="984" t="s">
        <v>785</v>
      </c>
      <c r="B39" s="973" t="s">
        <v>1123</v>
      </c>
      <c r="C39" s="1227">
        <v>170910</v>
      </c>
      <c r="D39" s="1228"/>
      <c r="E39" s="1228"/>
      <c r="F39" s="1229">
        <f>D39-E39</f>
        <v>0</v>
      </c>
      <c r="G39" s="1230"/>
      <c r="H39" s="1230"/>
    </row>
    <row r="40" spans="1:6" ht="18" customHeight="1">
      <c r="A40" s="967" t="s">
        <v>786</v>
      </c>
      <c r="B40" s="973" t="s">
        <v>787</v>
      </c>
      <c r="C40" s="1231" t="e">
        <f>C42+#REF!+#REF!+C43+C44+C46+C48+#REF!+#REF!+#REF!+#REF!</f>
        <v>#REF!</v>
      </c>
      <c r="D40" s="1232">
        <f>SUM(D41:D48)</f>
        <v>262821100</v>
      </c>
      <c r="E40" s="1232">
        <f>SUM(E41:E48)</f>
        <v>0</v>
      </c>
      <c r="F40" s="1233">
        <f>SUM(F41:F48)</f>
        <v>262821100</v>
      </c>
    </row>
    <row r="41" spans="1:6" ht="18" customHeight="1">
      <c r="A41" s="968" t="s">
        <v>892</v>
      </c>
      <c r="B41" s="969" t="s">
        <v>893</v>
      </c>
      <c r="C41" s="1198"/>
      <c r="D41" s="1218">
        <v>24300000</v>
      </c>
      <c r="E41" s="458"/>
      <c r="F41" s="1219">
        <v>24300000</v>
      </c>
    </row>
    <row r="42" spans="1:6" ht="18" customHeight="1">
      <c r="A42" s="968" t="s">
        <v>788</v>
      </c>
      <c r="B42" s="969" t="s">
        <v>1257</v>
      </c>
      <c r="C42" s="1217">
        <v>25463</v>
      </c>
      <c r="D42" s="1218">
        <v>24300000</v>
      </c>
      <c r="E42" s="458"/>
      <c r="F42" s="1219">
        <f aca="true" t="shared" si="0" ref="F42:F48">D42</f>
        <v>24300000</v>
      </c>
    </row>
    <row r="43" spans="1:6" ht="18" customHeight="1">
      <c r="A43" s="968" t="s">
        <v>789</v>
      </c>
      <c r="B43" s="969" t="s">
        <v>894</v>
      </c>
      <c r="C43" s="1234">
        <v>30448</v>
      </c>
      <c r="D43" s="1235">
        <v>21590400</v>
      </c>
      <c r="E43" s="458"/>
      <c r="F43" s="1219">
        <f t="shared" si="0"/>
        <v>21590400</v>
      </c>
    </row>
    <row r="44" spans="1:6" ht="18" customHeight="1">
      <c r="A44" s="968" t="s">
        <v>1124</v>
      </c>
      <c r="B44" s="969" t="s">
        <v>1125</v>
      </c>
      <c r="C44" s="1234">
        <v>17400</v>
      </c>
      <c r="D44" s="1235">
        <v>250000</v>
      </c>
      <c r="E44" s="458"/>
      <c r="F44" s="1219">
        <f t="shared" si="0"/>
        <v>250000</v>
      </c>
    </row>
    <row r="45" spans="1:6" ht="18" customHeight="1">
      <c r="A45" s="968" t="s">
        <v>1126</v>
      </c>
      <c r="B45" s="969" t="s">
        <v>1127</v>
      </c>
      <c r="C45" s="1234">
        <v>17400</v>
      </c>
      <c r="D45" s="1235">
        <v>21000000</v>
      </c>
      <c r="E45" s="458"/>
      <c r="F45" s="1219">
        <f t="shared" si="0"/>
        <v>21000000</v>
      </c>
    </row>
    <row r="46" spans="1:6" ht="18" customHeight="1">
      <c r="A46" s="968" t="s">
        <v>790</v>
      </c>
      <c r="B46" s="969" t="s">
        <v>895</v>
      </c>
      <c r="C46" s="1234">
        <v>10355</v>
      </c>
      <c r="D46" s="1235">
        <v>9810000</v>
      </c>
      <c r="E46" s="458"/>
      <c r="F46" s="1219">
        <f t="shared" si="0"/>
        <v>9810000</v>
      </c>
    </row>
    <row r="47" spans="1:8" s="279" customFormat="1" ht="18" customHeight="1">
      <c r="A47" s="968" t="s">
        <v>791</v>
      </c>
      <c r="B47" s="970" t="s">
        <v>1128</v>
      </c>
      <c r="C47" s="1231"/>
      <c r="D47" s="1235">
        <v>154159200</v>
      </c>
      <c r="E47" s="1235"/>
      <c r="F47" s="1219">
        <f t="shared" si="0"/>
        <v>154159200</v>
      </c>
      <c r="G47" s="1230"/>
      <c r="H47" s="1230"/>
    </row>
    <row r="48" spans="1:6" ht="18" customHeight="1">
      <c r="A48" s="968" t="s">
        <v>1129</v>
      </c>
      <c r="B48" s="969" t="s">
        <v>1130</v>
      </c>
      <c r="C48" s="1234">
        <v>140819</v>
      </c>
      <c r="D48" s="1235">
        <v>7411500</v>
      </c>
      <c r="E48" s="458"/>
      <c r="F48" s="1219">
        <f t="shared" si="0"/>
        <v>7411500</v>
      </c>
    </row>
    <row r="49" spans="1:8" s="279" customFormat="1" ht="25.5">
      <c r="A49" s="967" t="s">
        <v>792</v>
      </c>
      <c r="B49" s="973" t="s">
        <v>1131</v>
      </c>
      <c r="C49" s="1231">
        <f>C50+C51</f>
        <v>33188</v>
      </c>
      <c r="D49" s="1232">
        <f>SUM(D50:D51)</f>
        <v>55194320</v>
      </c>
      <c r="E49" s="1232">
        <f>SUM(E50:E51)</f>
        <v>0</v>
      </c>
      <c r="F49" s="1233">
        <f>SUM(F50:F51)</f>
        <v>55194320</v>
      </c>
      <c r="G49" s="1230"/>
      <c r="H49" s="1230"/>
    </row>
    <row r="50" spans="1:6" ht="18" customHeight="1">
      <c r="A50" s="968" t="s">
        <v>793</v>
      </c>
      <c r="B50" s="971" t="s">
        <v>896</v>
      </c>
      <c r="C50" s="1217">
        <v>15636</v>
      </c>
      <c r="D50" s="1218">
        <v>20848320</v>
      </c>
      <c r="E50" s="458"/>
      <c r="F50" s="1219">
        <f>D50</f>
        <v>20848320</v>
      </c>
    </row>
    <row r="51" spans="1:6" ht="18" customHeight="1">
      <c r="A51" s="968" t="s">
        <v>794</v>
      </c>
      <c r="B51" s="972" t="s">
        <v>897</v>
      </c>
      <c r="C51" s="1236">
        <v>17552</v>
      </c>
      <c r="D51" s="1235">
        <v>34346000</v>
      </c>
      <c r="E51" s="458"/>
      <c r="F51" s="1219">
        <f>D51</f>
        <v>34346000</v>
      </c>
    </row>
    <row r="52" spans="1:8" s="279" customFormat="1" ht="18" customHeight="1">
      <c r="A52" s="967" t="s">
        <v>179</v>
      </c>
      <c r="B52" s="973" t="s">
        <v>180</v>
      </c>
      <c r="C52" s="1237">
        <f>C53</f>
        <v>126382</v>
      </c>
      <c r="D52" s="1237">
        <f>SUM(D53:D54)</f>
        <v>306193140</v>
      </c>
      <c r="E52" s="1237">
        <f>SUM(E53:E54)</f>
        <v>0</v>
      </c>
      <c r="F52" s="1238">
        <f>SUM(F53:F54)</f>
        <v>306193140</v>
      </c>
      <c r="G52" s="1230"/>
      <c r="H52" s="1230"/>
    </row>
    <row r="53" spans="1:6" ht="18" customHeight="1">
      <c r="A53" s="968" t="s">
        <v>181</v>
      </c>
      <c r="B53" s="972" t="s">
        <v>896</v>
      </c>
      <c r="C53" s="1236">
        <v>126382</v>
      </c>
      <c r="D53" s="1235">
        <v>112444800</v>
      </c>
      <c r="E53" s="458"/>
      <c r="F53" s="1219">
        <f>D53-E53</f>
        <v>112444800</v>
      </c>
    </row>
    <row r="54" spans="1:6" ht="18" customHeight="1">
      <c r="A54" s="968" t="s">
        <v>211</v>
      </c>
      <c r="B54" s="972" t="s">
        <v>898</v>
      </c>
      <c r="C54" s="1236"/>
      <c r="D54" s="1235">
        <v>193748340</v>
      </c>
      <c r="E54" s="458"/>
      <c r="F54" s="1219">
        <f>D54-E54</f>
        <v>193748340</v>
      </c>
    </row>
    <row r="55" spans="1:6" ht="18" customHeight="1">
      <c r="A55" s="967" t="s">
        <v>1132</v>
      </c>
      <c r="B55" s="973" t="s">
        <v>1133</v>
      </c>
      <c r="C55" s="1237"/>
      <c r="D55" s="1239">
        <v>74556</v>
      </c>
      <c r="E55" s="1240"/>
      <c r="F55" s="1241">
        <f>D55-E55</f>
        <v>74556</v>
      </c>
    </row>
    <row r="56" spans="1:6" ht="26.25" thickBot="1">
      <c r="A56" s="1242" t="s">
        <v>912</v>
      </c>
      <c r="B56" s="1243" t="s">
        <v>1258</v>
      </c>
      <c r="C56" s="1244"/>
      <c r="D56" s="1245">
        <v>19613880</v>
      </c>
      <c r="E56" s="1246"/>
      <c r="F56" s="1241">
        <f>D56-E56</f>
        <v>19613880</v>
      </c>
    </row>
    <row r="57" spans="1:6" ht="18" customHeight="1" thickBot="1">
      <c r="A57" s="957"/>
      <c r="B57" s="976" t="s">
        <v>65</v>
      </c>
      <c r="C57" s="461" t="e">
        <f>C39+C40+C49+C52</f>
        <v>#REF!</v>
      </c>
      <c r="D57" s="905">
        <f>D39+D40+D49+D52+D56+D55</f>
        <v>643896996</v>
      </c>
      <c r="E57" s="905">
        <f>E39+E40+E49+E52+E56+E55</f>
        <v>0</v>
      </c>
      <c r="F57" s="1247">
        <f>F39+F40+F49+F52+F56+F55</f>
        <v>643896996</v>
      </c>
    </row>
    <row r="58" spans="1:6" ht="26.25" thickBot="1">
      <c r="A58" s="974" t="s">
        <v>899</v>
      </c>
      <c r="B58" s="975" t="s">
        <v>1259</v>
      </c>
      <c r="C58" s="1248"/>
      <c r="D58" s="1249">
        <v>25760800</v>
      </c>
      <c r="E58" s="1250"/>
      <c r="F58" s="1251">
        <f>D58-E58</f>
        <v>25760800</v>
      </c>
    </row>
    <row r="59" spans="1:8" ht="43.5" customHeight="1" thickBot="1">
      <c r="A59" s="977"/>
      <c r="B59" s="1252" t="s">
        <v>182</v>
      </c>
      <c r="C59" s="1207" t="e">
        <f>C57+C36+C16</f>
        <v>#REF!</v>
      </c>
      <c r="D59" s="1207">
        <f>+$F$16+D36+D57+D58</f>
        <v>1804978710</v>
      </c>
      <c r="E59" s="1207">
        <f>+$F$16+E36+E57+E58</f>
        <v>0</v>
      </c>
      <c r="F59" s="1207">
        <f>+$F$16+F36+F57+F58</f>
        <v>1804978710</v>
      </c>
      <c r="H59" s="978"/>
    </row>
    <row r="60" spans="1:6" ht="27.75" customHeight="1">
      <c r="A60" s="370"/>
      <c r="B60" s="374" t="s">
        <v>1260</v>
      </c>
      <c r="C60" s="1253"/>
      <c r="D60" s="1223"/>
      <c r="E60" s="1014"/>
      <c r="F60" s="1013"/>
    </row>
    <row r="61" spans="1:6" ht="12.75">
      <c r="A61" s="370"/>
      <c r="B61" s="374" t="s">
        <v>1134</v>
      </c>
      <c r="C61" s="1253"/>
      <c r="D61" s="1223">
        <v>64402</v>
      </c>
      <c r="E61" s="1254" t="s">
        <v>1135</v>
      </c>
      <c r="F61" s="1014"/>
    </row>
    <row r="62" spans="1:8" s="279" customFormat="1" ht="12.75">
      <c r="A62" s="375"/>
      <c r="B62" s="377"/>
      <c r="C62" s="1223"/>
      <c r="D62" s="1223"/>
      <c r="G62" s="1230"/>
      <c r="H62" s="1230"/>
    </row>
    <row r="63" spans="1:4" ht="12.75">
      <c r="A63" s="370"/>
      <c r="B63" s="376"/>
      <c r="C63" s="1255"/>
      <c r="D63" s="1255"/>
    </row>
    <row r="64" spans="1:4" ht="12.75">
      <c r="A64" s="370"/>
      <c r="B64" s="377"/>
      <c r="C64" s="1223"/>
      <c r="D64" s="1223"/>
    </row>
    <row r="65" spans="1:4" ht="12.75">
      <c r="A65" s="370"/>
      <c r="B65" s="377"/>
      <c r="C65" s="1223"/>
      <c r="D65" s="1223"/>
    </row>
    <row r="66" spans="1:4" ht="12.75">
      <c r="A66" s="370"/>
      <c r="B66" s="377"/>
      <c r="C66" s="1223"/>
      <c r="D66" s="1223"/>
    </row>
    <row r="67" spans="1:4" ht="12.75">
      <c r="A67" s="370"/>
      <c r="B67" s="378"/>
      <c r="C67" s="1255"/>
      <c r="D67" s="1255"/>
    </row>
    <row r="68" spans="1:4" ht="12.75">
      <c r="A68" s="370"/>
      <c r="B68" s="378"/>
      <c r="C68" s="1255"/>
      <c r="D68" s="1255"/>
    </row>
    <row r="69" spans="1:4" ht="12.75">
      <c r="A69" s="370"/>
      <c r="B69" s="379"/>
      <c r="C69" s="1223"/>
      <c r="D69" s="1223"/>
    </row>
    <row r="70" spans="1:4" ht="12.75">
      <c r="A70" s="370"/>
      <c r="B70" s="379"/>
      <c r="C70" s="1223"/>
      <c r="D70" s="1223"/>
    </row>
    <row r="71" spans="1:4" ht="12.75">
      <c r="A71" s="370"/>
      <c r="B71" s="379"/>
      <c r="C71" s="1223"/>
      <c r="D71" s="12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headerFooter>
    <oddHeader>&amp;CPesterzsébet Önkormányzatának 2017. évi központi támogatásai 
(Ft-ban)&amp;R2.2.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I43"/>
  <sheetViews>
    <sheetView zoomScale="85" zoomScaleNormal="85" workbookViewId="0" topLeftCell="A1">
      <selection activeCell="G23" sqref="G23"/>
    </sheetView>
  </sheetViews>
  <sheetFormatPr defaultColWidth="9.140625" defaultRowHeight="12.75"/>
  <cols>
    <col min="1" max="1" width="7.7109375" style="829" bestFit="1" customWidth="1"/>
    <col min="2" max="2" width="66.28125" style="829" customWidth="1"/>
    <col min="3" max="6" width="18.7109375" style="829" customWidth="1"/>
    <col min="7" max="7" width="18.7109375" style="830" customWidth="1"/>
    <col min="8" max="8" width="18.7109375" style="831" customWidth="1"/>
    <col min="9" max="16384" width="9.140625" style="95" customWidth="1"/>
  </cols>
  <sheetData>
    <row r="1" spans="1:8" s="290" customFormat="1" ht="14.25" customHeight="1">
      <c r="A1" s="1842" t="s">
        <v>523</v>
      </c>
      <c r="B1" s="1844" t="s">
        <v>689</v>
      </c>
      <c r="C1" s="1838" t="s">
        <v>1054</v>
      </c>
      <c r="D1" s="1838" t="s">
        <v>1050</v>
      </c>
      <c r="E1" s="1838"/>
      <c r="F1" s="1838"/>
      <c r="G1" s="1838"/>
      <c r="H1" s="1840" t="s">
        <v>1051</v>
      </c>
    </row>
    <row r="2" spans="1:8" s="290" customFormat="1" ht="60" customHeight="1" thickBot="1">
      <c r="A2" s="1843"/>
      <c r="B2" s="1845"/>
      <c r="C2" s="1839"/>
      <c r="D2" s="999" t="s">
        <v>287</v>
      </c>
      <c r="E2" s="999" t="s">
        <v>795</v>
      </c>
      <c r="F2" s="999" t="s">
        <v>796</v>
      </c>
      <c r="G2" s="999" t="s">
        <v>65</v>
      </c>
      <c r="H2" s="1841"/>
    </row>
    <row r="3" spans="1:9" s="305" customFormat="1" ht="34.5" customHeight="1" thickBot="1">
      <c r="A3" s="761" t="s">
        <v>104</v>
      </c>
      <c r="B3" s="762" t="s">
        <v>105</v>
      </c>
      <c r="C3" s="763">
        <v>156826</v>
      </c>
      <c r="D3" s="763">
        <v>160723841</v>
      </c>
      <c r="E3" s="763">
        <v>22500000</v>
      </c>
      <c r="F3" s="763"/>
      <c r="G3" s="763">
        <f>SUM(D3:F3)</f>
        <v>183223841</v>
      </c>
      <c r="H3" s="764">
        <f>G3/(C3*1000)</f>
        <v>1.17</v>
      </c>
      <c r="I3" s="462"/>
    </row>
    <row r="4" spans="1:9" s="305" customFormat="1" ht="34.5" customHeight="1" thickBot="1">
      <c r="A4" s="761" t="s">
        <v>106</v>
      </c>
      <c r="B4" s="765" t="s">
        <v>107</v>
      </c>
      <c r="C4" s="763">
        <v>47353</v>
      </c>
      <c r="D4" s="763">
        <v>37052470</v>
      </c>
      <c r="E4" s="763">
        <v>11151000</v>
      </c>
      <c r="F4" s="763"/>
      <c r="G4" s="763">
        <f aca="true" t="shared" si="0" ref="G4:G35">SUM(D4:F4)</f>
        <v>48203470</v>
      </c>
      <c r="H4" s="764">
        <f aca="true" t="shared" si="1" ref="H4:H24">G4/(C4*1000)</f>
        <v>1.02</v>
      </c>
      <c r="I4" s="462"/>
    </row>
    <row r="5" spans="1:9" s="305" customFormat="1" ht="34.5" customHeight="1" thickBot="1">
      <c r="A5" s="761" t="s">
        <v>108</v>
      </c>
      <c r="B5" s="762" t="s">
        <v>109</v>
      </c>
      <c r="C5" s="763">
        <v>1383323</v>
      </c>
      <c r="D5" s="763">
        <v>1301855064</v>
      </c>
      <c r="E5" s="763">
        <v>130902798</v>
      </c>
      <c r="F5" s="763"/>
      <c r="G5" s="763">
        <f t="shared" si="0"/>
        <v>1432757862</v>
      </c>
      <c r="H5" s="764">
        <f t="shared" si="1"/>
        <v>1.04</v>
      </c>
      <c r="I5" s="462"/>
    </row>
    <row r="6" spans="1:9" s="305" customFormat="1" ht="34.5" customHeight="1" thickBot="1">
      <c r="A6" s="761" t="s">
        <v>110</v>
      </c>
      <c r="B6" s="762" t="s">
        <v>111</v>
      </c>
      <c r="C6" s="763">
        <v>103290</v>
      </c>
      <c r="D6" s="763">
        <v>40565000</v>
      </c>
      <c r="E6" s="763">
        <v>61625000</v>
      </c>
      <c r="F6" s="763"/>
      <c r="G6" s="763">
        <f t="shared" si="0"/>
        <v>102190000</v>
      </c>
      <c r="H6" s="764">
        <f t="shared" si="1"/>
        <v>0.99</v>
      </c>
      <c r="I6" s="462"/>
    </row>
    <row r="7" spans="1:9" s="305" customFormat="1" ht="34.5" customHeight="1" thickBot="1">
      <c r="A7" s="1531"/>
      <c r="B7" s="766" t="s">
        <v>76</v>
      </c>
      <c r="C7" s="1532">
        <v>2000</v>
      </c>
      <c r="D7" s="1533"/>
      <c r="E7" s="1533"/>
      <c r="F7" s="1534"/>
      <c r="G7" s="1532">
        <f t="shared" si="0"/>
        <v>0</v>
      </c>
      <c r="H7" s="1535">
        <f t="shared" si="1"/>
        <v>0</v>
      </c>
      <c r="I7" s="462"/>
    </row>
    <row r="8" spans="1:8" s="291" customFormat="1" ht="34.5" customHeight="1" thickBot="1">
      <c r="A8" s="761" t="s">
        <v>112</v>
      </c>
      <c r="B8" s="762" t="s">
        <v>113</v>
      </c>
      <c r="C8" s="763">
        <f>SUM(C9:C14)</f>
        <v>632472</v>
      </c>
      <c r="D8" s="763">
        <f>SUM(D9:D14)</f>
        <v>517999253</v>
      </c>
      <c r="E8" s="763">
        <f>SUM(E9:E14)</f>
        <v>382210000</v>
      </c>
      <c r="F8" s="763">
        <f>SUM(F9:F14)</f>
        <v>0</v>
      </c>
      <c r="G8" s="763">
        <f t="shared" si="0"/>
        <v>900209253</v>
      </c>
      <c r="H8" s="764">
        <f t="shared" si="1"/>
        <v>1.42</v>
      </c>
    </row>
    <row r="9" spans="1:8" s="291" customFormat="1" ht="34.5" customHeight="1">
      <c r="A9" s="771" t="s">
        <v>235</v>
      </c>
      <c r="B9" s="772" t="s">
        <v>236</v>
      </c>
      <c r="C9" s="772">
        <v>0</v>
      </c>
      <c r="D9" s="772">
        <v>90220993</v>
      </c>
      <c r="E9" s="772"/>
      <c r="F9" s="772"/>
      <c r="G9" s="797">
        <f t="shared" si="0"/>
        <v>90220993</v>
      </c>
      <c r="H9" s="1536"/>
    </row>
    <row r="10" spans="1:8" s="291" customFormat="1" ht="34.5" customHeight="1">
      <c r="A10" s="771" t="s">
        <v>646</v>
      </c>
      <c r="B10" s="772" t="s">
        <v>116</v>
      </c>
      <c r="C10" s="772">
        <v>96764</v>
      </c>
      <c r="D10" s="772">
        <f>+'2.4.Átad.Peszk.'!D3</f>
        <v>86438579</v>
      </c>
      <c r="E10" s="772">
        <f>+'2.4.Átad.Peszk.'!E3</f>
        <v>6800000</v>
      </c>
      <c r="F10" s="772">
        <f>+'2.4.Átad.Peszk.'!F3</f>
        <v>0</v>
      </c>
      <c r="G10" s="797">
        <f t="shared" si="0"/>
        <v>93238579</v>
      </c>
      <c r="H10" s="1536">
        <f t="shared" si="1"/>
        <v>0.96</v>
      </c>
    </row>
    <row r="11" spans="1:8" s="291" customFormat="1" ht="34.5" customHeight="1">
      <c r="A11" s="771" t="s">
        <v>117</v>
      </c>
      <c r="B11" s="772" t="s">
        <v>118</v>
      </c>
      <c r="C11" s="772">
        <v>15000</v>
      </c>
      <c r="D11" s="772"/>
      <c r="E11" s="772">
        <v>5000000</v>
      </c>
      <c r="F11" s="772"/>
      <c r="G11" s="797">
        <f t="shared" si="0"/>
        <v>5000000</v>
      </c>
      <c r="H11" s="1536">
        <f t="shared" si="1"/>
        <v>0.33</v>
      </c>
    </row>
    <row r="12" spans="1:9" s="305" customFormat="1" ht="34.5" customHeight="1">
      <c r="A12" s="771" t="s">
        <v>647</v>
      </c>
      <c r="B12" s="772" t="s">
        <v>237</v>
      </c>
      <c r="C12" s="772">
        <v>200</v>
      </c>
      <c r="D12" s="772">
        <f>+'2.4.Átad.Peszk.'!D28</f>
        <v>0</v>
      </c>
      <c r="E12" s="772">
        <f>+'2.4.Átad.Peszk.'!E28</f>
        <v>100000</v>
      </c>
      <c r="F12" s="772">
        <f>+'2.4.Átad.Peszk.'!F28</f>
        <v>0</v>
      </c>
      <c r="G12" s="797">
        <f t="shared" si="0"/>
        <v>100000</v>
      </c>
      <c r="H12" s="1536">
        <f t="shared" si="1"/>
        <v>0.5</v>
      </c>
      <c r="I12" s="462"/>
    </row>
    <row r="13" spans="1:9" s="305" customFormat="1" ht="34.5" customHeight="1">
      <c r="A13" s="771" t="s">
        <v>570</v>
      </c>
      <c r="B13" s="772" t="s">
        <v>119</v>
      </c>
      <c r="C13" s="772">
        <v>68100</v>
      </c>
      <c r="D13" s="772">
        <f>+'2.4.Átad.Peszk.'!D31</f>
        <v>2500000</v>
      </c>
      <c r="E13" s="772">
        <f>+'2.4.Átad.Peszk.'!E31</f>
        <v>66000000</v>
      </c>
      <c r="F13" s="772">
        <f>+'2.4.Átad.Peszk.'!F31</f>
        <v>0</v>
      </c>
      <c r="G13" s="797">
        <f t="shared" si="0"/>
        <v>68500000</v>
      </c>
      <c r="H13" s="1536">
        <f t="shared" si="1"/>
        <v>1.01</v>
      </c>
      <c r="I13" s="462"/>
    </row>
    <row r="14" spans="1:9" s="305" customFormat="1" ht="34.5" customHeight="1">
      <c r="A14" s="773" t="s">
        <v>635</v>
      </c>
      <c r="B14" s="774" t="s">
        <v>120</v>
      </c>
      <c r="C14" s="793">
        <f>SUM(C15:C17)</f>
        <v>452408</v>
      </c>
      <c r="D14" s="793">
        <f>SUM(D15:D17)</f>
        <v>338839681</v>
      </c>
      <c r="E14" s="793">
        <f>SUM(E15:E17)</f>
        <v>304310000</v>
      </c>
      <c r="F14" s="793">
        <f>SUM(F15:F17)</f>
        <v>0</v>
      </c>
      <c r="G14" s="793">
        <f t="shared" si="0"/>
        <v>643149681</v>
      </c>
      <c r="H14" s="1537">
        <f t="shared" si="1"/>
        <v>1.42</v>
      </c>
      <c r="I14" s="462"/>
    </row>
    <row r="15" spans="1:9" s="305" customFormat="1" ht="34.5" customHeight="1">
      <c r="A15" s="775"/>
      <c r="B15" s="772" t="s">
        <v>629</v>
      </c>
      <c r="C15" s="797">
        <v>257981</v>
      </c>
      <c r="D15" s="797">
        <f>+'2.5.Céltart'!E3</f>
        <v>169924938</v>
      </c>
      <c r="E15" s="797">
        <f>+'2.5.Céltart'!F3</f>
        <v>32500000</v>
      </c>
      <c r="F15" s="797">
        <f>+'2.5.Céltart'!G3</f>
        <v>0</v>
      </c>
      <c r="G15" s="797">
        <f t="shared" si="0"/>
        <v>202424938</v>
      </c>
      <c r="H15" s="1536">
        <f t="shared" si="1"/>
        <v>0.78</v>
      </c>
      <c r="I15" s="462"/>
    </row>
    <row r="16" spans="1:9" s="305" customFormat="1" ht="34.5" customHeight="1">
      <c r="A16" s="776"/>
      <c r="B16" s="777" t="s">
        <v>766</v>
      </c>
      <c r="C16" s="1538">
        <v>74548</v>
      </c>
      <c r="D16" s="1538">
        <f>+'2.5.Céltart'!E39</f>
        <v>103914743</v>
      </c>
      <c r="E16" s="1538">
        <f>+'2.5.Céltart'!F39</f>
        <v>0</v>
      </c>
      <c r="F16" s="1538">
        <f>+'2.5.Céltart'!G39</f>
        <v>0</v>
      </c>
      <c r="G16" s="797">
        <f t="shared" si="0"/>
        <v>103914743</v>
      </c>
      <c r="H16" s="1536">
        <f t="shared" si="1"/>
        <v>1.39</v>
      </c>
      <c r="I16" s="462"/>
    </row>
    <row r="17" spans="1:9" s="305" customFormat="1" ht="34.5" customHeight="1" thickBot="1">
      <c r="A17" s="778"/>
      <c r="B17" s="779" t="s">
        <v>630</v>
      </c>
      <c r="C17" s="1539">
        <v>119879</v>
      </c>
      <c r="D17" s="1539">
        <f>+'2.5.Céltart'!E28</f>
        <v>65000000</v>
      </c>
      <c r="E17" s="1539">
        <f>+'2.5.Céltart'!F28</f>
        <v>271810000</v>
      </c>
      <c r="F17" s="1539">
        <f>+'2.5.Céltart'!G28</f>
        <v>0</v>
      </c>
      <c r="G17" s="1539">
        <f t="shared" si="0"/>
        <v>336810000</v>
      </c>
      <c r="H17" s="1540">
        <f t="shared" si="1"/>
        <v>2.81</v>
      </c>
      <c r="I17" s="462"/>
    </row>
    <row r="18" spans="1:9" s="305" customFormat="1" ht="34.5" customHeight="1" thickBot="1">
      <c r="A18" s="767" t="s">
        <v>548</v>
      </c>
      <c r="B18" s="768" t="s">
        <v>121</v>
      </c>
      <c r="C18" s="763">
        <v>765295</v>
      </c>
      <c r="D18" s="763">
        <f>+'2.7.Beruh'!D84</f>
        <v>2120543122</v>
      </c>
      <c r="E18" s="763">
        <f>+'2.7.Beruh'!E84</f>
        <v>19420840</v>
      </c>
      <c r="F18" s="763">
        <f>+'2.7.Beruh'!F84</f>
        <v>0</v>
      </c>
      <c r="G18" s="769">
        <f t="shared" si="0"/>
        <v>2139963962</v>
      </c>
      <c r="H18" s="770">
        <f t="shared" si="1"/>
        <v>2.8</v>
      </c>
      <c r="I18" s="462"/>
    </row>
    <row r="19" spans="1:9" s="305" customFormat="1" ht="34.5" customHeight="1" thickBot="1">
      <c r="A19" s="767" t="s">
        <v>122</v>
      </c>
      <c r="B19" s="768" t="s">
        <v>123</v>
      </c>
      <c r="C19" s="763">
        <v>224182</v>
      </c>
      <c r="D19" s="763">
        <f>+'2.8.Felúj.'!D39</f>
        <v>245024239</v>
      </c>
      <c r="E19" s="763">
        <f>+'2.8.Felúj.'!E39</f>
        <v>0</v>
      </c>
      <c r="F19" s="763">
        <f>+'2.8.Felúj.'!F39</f>
        <v>0</v>
      </c>
      <c r="G19" s="769">
        <f t="shared" si="0"/>
        <v>245024239</v>
      </c>
      <c r="H19" s="770">
        <f t="shared" si="1"/>
        <v>1.09</v>
      </c>
      <c r="I19" s="462"/>
    </row>
    <row r="20" spans="1:9" s="305" customFormat="1" ht="34.5" customHeight="1" thickBot="1">
      <c r="A20" s="767" t="s">
        <v>124</v>
      </c>
      <c r="B20" s="768" t="s">
        <v>125</v>
      </c>
      <c r="C20" s="769">
        <f>SUM(C21:C23)</f>
        <v>23174</v>
      </c>
      <c r="D20" s="769">
        <f>SUM(D21:D23)</f>
        <v>332061</v>
      </c>
      <c r="E20" s="769">
        <f>SUM(E21:E23)</f>
        <v>35450000</v>
      </c>
      <c r="F20" s="769">
        <f>SUM(F21:F23)</f>
        <v>0</v>
      </c>
      <c r="G20" s="769">
        <f t="shared" si="0"/>
        <v>35782061</v>
      </c>
      <c r="H20" s="770">
        <f t="shared" si="1"/>
        <v>1.54</v>
      </c>
      <c r="I20" s="462"/>
    </row>
    <row r="21" spans="1:9" s="305" customFormat="1" ht="34.5" customHeight="1">
      <c r="A21" s="780" t="s">
        <v>654</v>
      </c>
      <c r="B21" s="781" t="s">
        <v>126</v>
      </c>
      <c r="C21" s="1541">
        <v>6174</v>
      </c>
      <c r="D21" s="1541">
        <f>+'2.4.Átad.Peszk.'!D54</f>
        <v>332061</v>
      </c>
      <c r="E21" s="1541">
        <f>+'2.4.Átad.Peszk.'!E54</f>
        <v>3300000</v>
      </c>
      <c r="F21" s="1541">
        <f>+'2.4.Átad.Peszk.'!F54</f>
        <v>0</v>
      </c>
      <c r="G21" s="1541">
        <f t="shared" si="0"/>
        <v>3632061</v>
      </c>
      <c r="H21" s="1542">
        <f t="shared" si="1"/>
        <v>0.59</v>
      </c>
      <c r="I21" s="462"/>
    </row>
    <row r="22" spans="1:9" s="305" customFormat="1" ht="34.5" customHeight="1">
      <c r="A22" s="775" t="s">
        <v>127</v>
      </c>
      <c r="B22" s="772" t="s">
        <v>128</v>
      </c>
      <c r="C22" s="797">
        <v>17000</v>
      </c>
      <c r="D22" s="797"/>
      <c r="E22" s="797">
        <v>23000000</v>
      </c>
      <c r="F22" s="797"/>
      <c r="G22" s="797">
        <f t="shared" si="0"/>
        <v>23000000</v>
      </c>
      <c r="H22" s="1536">
        <f t="shared" si="1"/>
        <v>1.35</v>
      </c>
      <c r="I22" s="462"/>
    </row>
    <row r="23" spans="1:9" s="305" customFormat="1" ht="34.5" customHeight="1" thickBot="1">
      <c r="A23" s="776" t="s">
        <v>172</v>
      </c>
      <c r="B23" s="772" t="s">
        <v>238</v>
      </c>
      <c r="C23" s="1538">
        <v>0</v>
      </c>
      <c r="D23" s="1538">
        <f>+'2.4.Átad.Peszk.'!D69</f>
        <v>0</v>
      </c>
      <c r="E23" s="1538">
        <f>+'2.4.Átad.Peszk.'!E69</f>
        <v>9150000</v>
      </c>
      <c r="F23" s="1538">
        <f>+'2.4.Átad.Peszk.'!F69</f>
        <v>0</v>
      </c>
      <c r="G23" s="797">
        <f t="shared" si="0"/>
        <v>9150000</v>
      </c>
      <c r="H23" s="1543"/>
      <c r="I23" s="462"/>
    </row>
    <row r="24" spans="1:8" s="556" customFormat="1" ht="34.5" customHeight="1" thickBot="1">
      <c r="A24" s="782" t="s">
        <v>138</v>
      </c>
      <c r="B24" s="783" t="s">
        <v>139</v>
      </c>
      <c r="C24" s="784">
        <f>C3+C4+C5+C6+C8+C18+C19+C20</f>
        <v>3335915</v>
      </c>
      <c r="D24" s="784">
        <f>D3+D4+D5+D6+D8+D18+D19+D20</f>
        <v>4424095050</v>
      </c>
      <c r="E24" s="784">
        <f>E3+E4+E5+E6+E8+E18+E19+E20</f>
        <v>663259638</v>
      </c>
      <c r="F24" s="784">
        <f>F3+F4+F5+F6+F8+F18+F19+F20</f>
        <v>0</v>
      </c>
      <c r="G24" s="785">
        <f t="shared" si="0"/>
        <v>5087354688</v>
      </c>
      <c r="H24" s="786">
        <f t="shared" si="1"/>
        <v>1.53</v>
      </c>
    </row>
    <row r="25" spans="1:8" s="108" customFormat="1" ht="34.5" customHeight="1" thickBot="1">
      <c r="A25" s="761" t="s">
        <v>129</v>
      </c>
      <c r="B25" s="762" t="s">
        <v>130</v>
      </c>
      <c r="C25" s="763">
        <f>+C27+C28+C26</f>
        <v>5338882</v>
      </c>
      <c r="D25" s="763">
        <f>+D27+D28+D26</f>
        <v>5168312182</v>
      </c>
      <c r="E25" s="763">
        <f>+E27+E28+E26</f>
        <v>176685879</v>
      </c>
      <c r="F25" s="763">
        <f>+F27+F28+F26</f>
        <v>19124940</v>
      </c>
      <c r="G25" s="763">
        <f>SUM(D25:F25)</f>
        <v>5364123001</v>
      </c>
      <c r="H25" s="764">
        <f>G25/(C25*1000)</f>
        <v>1</v>
      </c>
    </row>
    <row r="26" spans="1:8" s="556" customFormat="1" ht="34.5" customHeight="1">
      <c r="A26" s="787" t="s">
        <v>1171</v>
      </c>
      <c r="B26" s="788" t="s">
        <v>1172</v>
      </c>
      <c r="C26" s="1544"/>
      <c r="D26" s="1544">
        <f>561000000/5</f>
        <v>112200000</v>
      </c>
      <c r="E26" s="1545"/>
      <c r="F26" s="1545"/>
      <c r="G26" s="789">
        <f t="shared" si="0"/>
        <v>112200000</v>
      </c>
      <c r="H26" s="790"/>
    </row>
    <row r="27" spans="1:8" s="556" customFormat="1" ht="34.5" customHeight="1">
      <c r="A27" s="787" t="s">
        <v>991</v>
      </c>
      <c r="B27" s="788" t="s">
        <v>992</v>
      </c>
      <c r="C27" s="1544">
        <v>56618</v>
      </c>
      <c r="D27" s="1544">
        <v>55528296</v>
      </c>
      <c r="E27" s="1545"/>
      <c r="F27" s="1545"/>
      <c r="G27" s="789">
        <f t="shared" si="0"/>
        <v>55528296</v>
      </c>
      <c r="H27" s="790"/>
    </row>
    <row r="28" spans="1:8" s="556" customFormat="1" ht="34.5" customHeight="1">
      <c r="A28" s="787" t="s">
        <v>131</v>
      </c>
      <c r="B28" s="788" t="s">
        <v>132</v>
      </c>
      <c r="C28" s="1544">
        <f>C29+C32</f>
        <v>5282264</v>
      </c>
      <c r="D28" s="1545">
        <f>D29+D32</f>
        <v>5000583886</v>
      </c>
      <c r="E28" s="1545">
        <f>E29+E32</f>
        <v>176685879</v>
      </c>
      <c r="F28" s="1545">
        <f>F29+F32</f>
        <v>19124940</v>
      </c>
      <c r="G28" s="789">
        <f t="shared" si="0"/>
        <v>5196394705</v>
      </c>
      <c r="H28" s="790">
        <f aca="true" t="shared" si="2" ref="H28:H35">G28/(C28*1000)</f>
        <v>0.98</v>
      </c>
    </row>
    <row r="29" spans="1:8" s="555" customFormat="1" ht="34.5" customHeight="1">
      <c r="A29" s="791"/>
      <c r="B29" s="1162" t="s">
        <v>133</v>
      </c>
      <c r="C29" s="774">
        <f>SUM(C30:C31)</f>
        <v>5086408</v>
      </c>
      <c r="D29" s="1546">
        <f>SUM(D30:D31)</f>
        <v>4849334486</v>
      </c>
      <c r="E29" s="1546">
        <f>SUM(E30:E31)</f>
        <v>176685879</v>
      </c>
      <c r="F29" s="1546">
        <f>SUM(F30:F31)</f>
        <v>19124940</v>
      </c>
      <c r="G29" s="793">
        <f t="shared" si="0"/>
        <v>5045145305</v>
      </c>
      <c r="H29" s="794">
        <f t="shared" si="2"/>
        <v>0.99</v>
      </c>
    </row>
    <row r="30" spans="1:8" s="555" customFormat="1" ht="34.5" customHeight="1">
      <c r="A30" s="795"/>
      <c r="B30" s="796" t="s">
        <v>134</v>
      </c>
      <c r="C30" s="1303">
        <f>+'4. iNT ÖSSZESÍTŐ'!C17</f>
        <v>3719706</v>
      </c>
      <c r="D30" s="1303">
        <f>+'4. iNT ÖSSZESÍTŐ'!D17</f>
        <v>3477415515</v>
      </c>
      <c r="E30" s="1303">
        <f>+'4. iNT ÖSSZESÍTŐ'!E17</f>
        <v>149867944</v>
      </c>
      <c r="F30" s="1303">
        <f>+'4. iNT ÖSSZESÍTŐ'!F17</f>
        <v>0</v>
      </c>
      <c r="G30" s="797">
        <f t="shared" si="0"/>
        <v>3627283459</v>
      </c>
      <c r="H30" s="798">
        <f t="shared" si="2"/>
        <v>0.98</v>
      </c>
    </row>
    <row r="31" spans="1:8" s="468" customFormat="1" ht="34.5" customHeight="1">
      <c r="A31" s="795"/>
      <c r="B31" s="796" t="s">
        <v>135</v>
      </c>
      <c r="C31" s="1303">
        <f>+'3.1.Bevétel POHI'!C21</f>
        <v>1366702</v>
      </c>
      <c r="D31" s="1303">
        <f>+'3.1.Bevétel POHI'!D21</f>
        <v>1371918971</v>
      </c>
      <c r="E31" s="1303">
        <f>+'3.1.Bevétel POHI'!E21</f>
        <v>26817935</v>
      </c>
      <c r="F31" s="1303">
        <f>+'3.1.Bevétel POHI'!F21</f>
        <v>19124940</v>
      </c>
      <c r="G31" s="797">
        <f>SUM(D31:F31)</f>
        <v>1417861846</v>
      </c>
      <c r="H31" s="798">
        <f t="shared" si="2"/>
        <v>1.04</v>
      </c>
    </row>
    <row r="32" spans="1:8" s="556" customFormat="1" ht="34.5" customHeight="1">
      <c r="A32" s="791"/>
      <c r="B32" s="1162" t="s">
        <v>136</v>
      </c>
      <c r="C32" s="774">
        <f>SUM(C33:C34)</f>
        <v>195856</v>
      </c>
      <c r="D32" s="1546">
        <f>SUM(D33:D34)</f>
        <v>151249400</v>
      </c>
      <c r="E32" s="1546">
        <f>SUM(E33:E34)</f>
        <v>0</v>
      </c>
      <c r="F32" s="1546">
        <f>SUM(F33:F34)</f>
        <v>0</v>
      </c>
      <c r="G32" s="793">
        <f t="shared" si="0"/>
        <v>151249400</v>
      </c>
      <c r="H32" s="794">
        <f t="shared" si="2"/>
        <v>0.77</v>
      </c>
    </row>
    <row r="33" spans="1:8" s="305" customFormat="1" ht="34.5" customHeight="1">
      <c r="A33" s="799"/>
      <c r="B33" s="796" t="s">
        <v>134</v>
      </c>
      <c r="C33" s="1547">
        <f>+'4. iNT ÖSSZESÍTŐ'!C18</f>
        <v>33639</v>
      </c>
      <c r="D33" s="1547">
        <f>+'4. iNT ÖSSZESÍTŐ'!D18</f>
        <v>18255000</v>
      </c>
      <c r="E33" s="1547">
        <f>+'4. iNT ÖSSZESÍTŐ'!E18</f>
        <v>0</v>
      </c>
      <c r="F33" s="1547">
        <f>+'4. iNT ÖSSZESÍTŐ'!F18</f>
        <v>0</v>
      </c>
      <c r="G33" s="797">
        <f t="shared" si="0"/>
        <v>18255000</v>
      </c>
      <c r="H33" s="1530">
        <f t="shared" si="2"/>
        <v>0.54</v>
      </c>
    </row>
    <row r="34" spans="1:8" s="305" customFormat="1" ht="34.5" customHeight="1" thickBot="1">
      <c r="A34" s="799"/>
      <c r="B34" s="796" t="s">
        <v>135</v>
      </c>
      <c r="C34" s="1547">
        <f>+'3.1.Bevétel POHI'!C22</f>
        <v>162217</v>
      </c>
      <c r="D34" s="1547">
        <f>+'3.1.Bevétel POHI'!D22</f>
        <v>132994400</v>
      </c>
      <c r="E34" s="1547">
        <f>+'3.1.Bevétel POHI'!E22</f>
        <v>0</v>
      </c>
      <c r="F34" s="1547">
        <f>+'3.1.Bevétel POHI'!F22</f>
        <v>0</v>
      </c>
      <c r="G34" s="797">
        <f t="shared" si="0"/>
        <v>132994400</v>
      </c>
      <c r="H34" s="1530">
        <f t="shared" si="2"/>
        <v>0.82</v>
      </c>
    </row>
    <row r="35" spans="1:8" s="305" customFormat="1" ht="34.5" customHeight="1" thickBot="1">
      <c r="A35" s="1084"/>
      <c r="B35" s="1082" t="s">
        <v>137</v>
      </c>
      <c r="C35" s="1085">
        <f>C25+C24</f>
        <v>8674797</v>
      </c>
      <c r="D35" s="1085">
        <f>D25+D24</f>
        <v>9592407232</v>
      </c>
      <c r="E35" s="1085">
        <f>E25+E24</f>
        <v>839945517</v>
      </c>
      <c r="F35" s="1085">
        <f>F25+F24</f>
        <v>19124940</v>
      </c>
      <c r="G35" s="1085">
        <f t="shared" si="0"/>
        <v>10451477689</v>
      </c>
      <c r="H35" s="1086">
        <f t="shared" si="2"/>
        <v>1.2</v>
      </c>
    </row>
    <row r="36" spans="1:8" s="305" customFormat="1" ht="34.5" customHeight="1" thickBot="1">
      <c r="A36" s="800"/>
      <c r="B36" s="800"/>
      <c r="C36" s="1548"/>
      <c r="D36" s="1548"/>
      <c r="E36" s="1548"/>
      <c r="F36" s="1549"/>
      <c r="G36" s="1549"/>
      <c r="H36" s="804"/>
    </row>
    <row r="37" spans="1:8" s="397" customFormat="1" ht="34.5" customHeight="1">
      <c r="A37" s="1550"/>
      <c r="B37" s="1551" t="s">
        <v>158</v>
      </c>
      <c r="C37" s="1552">
        <f>C3+C4+C5+C6+C8-C17</f>
        <v>2203385</v>
      </c>
      <c r="D37" s="1552">
        <f>D3+D4+D5+D6+D8-D17</f>
        <v>1993195628</v>
      </c>
      <c r="E37" s="1552">
        <f>E3+E4+E5+E6+E8-E17</f>
        <v>336578798</v>
      </c>
      <c r="F37" s="1552">
        <f>F3+F4+F5+F6+F8-F17</f>
        <v>0</v>
      </c>
      <c r="G37" s="1552">
        <f>SUM(D37:F37)</f>
        <v>2329774426</v>
      </c>
      <c r="H37" s="1553">
        <f aca="true" t="shared" si="3" ref="H37:H43">G37/(C37*1000)</f>
        <v>1.06</v>
      </c>
    </row>
    <row r="38" spans="1:8" s="397" customFormat="1" ht="34.5" customHeight="1">
      <c r="A38" s="1171"/>
      <c r="B38" s="1554" t="s">
        <v>159</v>
      </c>
      <c r="C38" s="717">
        <f>C18+C19+C20+C17</f>
        <v>1132530</v>
      </c>
      <c r="D38" s="717">
        <f>D18+D19+D20+D17</f>
        <v>2430899422</v>
      </c>
      <c r="E38" s="717">
        <f>E18+E19+E20+E17</f>
        <v>326680840</v>
      </c>
      <c r="F38" s="717">
        <f>F18+F19+F20+F17</f>
        <v>0</v>
      </c>
      <c r="G38" s="717">
        <f aca="true" t="shared" si="4" ref="G38:G43">SUM(D38:F38)</f>
        <v>2757580262</v>
      </c>
      <c r="H38" s="1555">
        <f t="shared" si="3"/>
        <v>2.43</v>
      </c>
    </row>
    <row r="39" spans="1:8" s="397" customFormat="1" ht="34.5" customHeight="1">
      <c r="A39" s="1171"/>
      <c r="B39" s="1554" t="s">
        <v>160</v>
      </c>
      <c r="C39" s="717">
        <f>C29+C27</f>
        <v>5143026</v>
      </c>
      <c r="D39" s="717">
        <f>D29+D27</f>
        <v>4904862782</v>
      </c>
      <c r="E39" s="717">
        <f>E29+E27</f>
        <v>176685879</v>
      </c>
      <c r="F39" s="717">
        <f>F29+F27</f>
        <v>19124940</v>
      </c>
      <c r="G39" s="717">
        <f t="shared" si="4"/>
        <v>5100673601</v>
      </c>
      <c r="H39" s="1555">
        <f t="shared" si="3"/>
        <v>0.99</v>
      </c>
    </row>
    <row r="40" spans="1:8" ht="34.5" customHeight="1" thickBot="1">
      <c r="A40" s="1556"/>
      <c r="B40" s="1557" t="s">
        <v>161</v>
      </c>
      <c r="C40" s="1558">
        <f>C32</f>
        <v>195856</v>
      </c>
      <c r="D40" s="1558">
        <f>D32+D26</f>
        <v>263449400</v>
      </c>
      <c r="E40" s="1558">
        <f>E32+E26</f>
        <v>0</v>
      </c>
      <c r="F40" s="1558">
        <f>F32+F26</f>
        <v>0</v>
      </c>
      <c r="G40" s="1558">
        <f t="shared" si="4"/>
        <v>263449400</v>
      </c>
      <c r="H40" s="1559">
        <f t="shared" si="3"/>
        <v>1.35</v>
      </c>
    </row>
    <row r="41" spans="1:8" ht="34.5" customHeight="1">
      <c r="A41" s="1156"/>
      <c r="B41" s="1560" t="s">
        <v>162</v>
      </c>
      <c r="C41" s="1561">
        <f aca="true" t="shared" si="5" ref="C41:F42">C37+C39</f>
        <v>7346411</v>
      </c>
      <c r="D41" s="1561">
        <f t="shared" si="5"/>
        <v>6898058410</v>
      </c>
      <c r="E41" s="1561">
        <f t="shared" si="5"/>
        <v>513264677</v>
      </c>
      <c r="F41" s="1561">
        <f t="shared" si="5"/>
        <v>19124940</v>
      </c>
      <c r="G41" s="1561">
        <f t="shared" si="4"/>
        <v>7430448027</v>
      </c>
      <c r="H41" s="1562">
        <f t="shared" si="3"/>
        <v>1.01</v>
      </c>
    </row>
    <row r="42" spans="1:8" ht="34.5" customHeight="1" thickBot="1">
      <c r="A42" s="1563"/>
      <c r="B42" s="1564" t="s">
        <v>163</v>
      </c>
      <c r="C42" s="1565">
        <f t="shared" si="5"/>
        <v>1328386</v>
      </c>
      <c r="D42" s="1565">
        <f t="shared" si="5"/>
        <v>2694348822</v>
      </c>
      <c r="E42" s="1565">
        <f t="shared" si="5"/>
        <v>326680840</v>
      </c>
      <c r="F42" s="1565">
        <f t="shared" si="5"/>
        <v>0</v>
      </c>
      <c r="G42" s="1565">
        <f t="shared" si="4"/>
        <v>3021029662</v>
      </c>
      <c r="H42" s="1566">
        <f t="shared" si="3"/>
        <v>2.27</v>
      </c>
    </row>
    <row r="43" spans="1:8" ht="34.5" customHeight="1" thickBot="1">
      <c r="A43" s="1567"/>
      <c r="B43" s="1568" t="s">
        <v>164</v>
      </c>
      <c r="C43" s="1569">
        <f>C41+C42</f>
        <v>8674797</v>
      </c>
      <c r="D43" s="1569">
        <f>D41+D42</f>
        <v>9592407232</v>
      </c>
      <c r="E43" s="1569">
        <f>E41+E42</f>
        <v>839945517</v>
      </c>
      <c r="F43" s="1569">
        <f>F41+F42</f>
        <v>19124940</v>
      </c>
      <c r="G43" s="1569">
        <f t="shared" si="4"/>
        <v>10451477689</v>
      </c>
      <c r="H43" s="1570">
        <f t="shared" si="3"/>
        <v>1.2</v>
      </c>
    </row>
  </sheetData>
  <sheetProtection/>
  <mergeCells count="5">
    <mergeCell ref="H1:H2"/>
    <mergeCell ref="A1:A2"/>
    <mergeCell ref="D1:G1"/>
    <mergeCell ref="C1:C2"/>
    <mergeCell ref="B1:B2"/>
  </mergeCells>
  <printOptions/>
  <pageMargins left="0.7874015748031497" right="0.7874015748031497" top="0.5905511811023623" bottom="0.5905511811023623" header="0" footer="0"/>
  <pageSetup fitToHeight="0" fitToWidth="1" orientation="portrait" paperSize="9" scale="46" r:id="rId1"/>
  <headerFooter alignWithMargins="0">
    <oddHeader xml:space="preserve">&amp;C&amp;"Times New Roman,Normál"PESTERZSÉBET ÖNKORMÁNYZATÁNAK
 2017. ÉVI KIADÁSAI (Ft)&amp;R&amp;"Times New Roman,Félkövér"
&amp;"Times New Roman,Normál"2.3. sz. melléklet &amp;"Times New Roman,Félkövér"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38">
    <pageSetUpPr fitToPage="1"/>
  </sheetPr>
  <dimension ref="A1:H78"/>
  <sheetViews>
    <sheetView workbookViewId="0" topLeftCell="A1">
      <selection activeCell="I48" sqref="I48"/>
    </sheetView>
  </sheetViews>
  <sheetFormatPr defaultColWidth="9.140625" defaultRowHeight="12.75"/>
  <cols>
    <col min="1" max="1" width="9.140625" style="1317" customWidth="1"/>
    <col min="2" max="2" width="54.8515625" style="1317" bestFit="1" customWidth="1"/>
    <col min="3" max="3" width="12.7109375" style="1329" customWidth="1"/>
    <col min="4" max="5" width="15.140625" style="1317" bestFit="1" customWidth="1"/>
    <col min="6" max="6" width="18.00390625" style="1317" customWidth="1"/>
    <col min="7" max="7" width="15.421875" style="1317" bestFit="1" customWidth="1"/>
    <col min="8" max="8" width="12.140625" style="1317" customWidth="1"/>
    <col min="9" max="16384" width="9.140625" style="1317" customWidth="1"/>
  </cols>
  <sheetData>
    <row r="1" spans="1:8" s="1278" customFormat="1" ht="12.75" customHeight="1">
      <c r="A1" s="1846" t="s">
        <v>569</v>
      </c>
      <c r="B1" s="1856" t="s">
        <v>728</v>
      </c>
      <c r="C1" s="1854" t="s">
        <v>1054</v>
      </c>
      <c r="D1" s="1851" t="s">
        <v>1050</v>
      </c>
      <c r="E1" s="1852"/>
      <c r="F1" s="1852"/>
      <c r="G1" s="1853"/>
      <c r="H1" s="1848" t="s">
        <v>1051</v>
      </c>
    </row>
    <row r="2" spans="1:8" s="1278" customFormat="1" ht="48" thickBot="1">
      <c r="A2" s="1847"/>
      <c r="B2" s="185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8" s="1113" customFormat="1" ht="19.5" customHeight="1">
      <c r="A3" s="1279" t="s">
        <v>646</v>
      </c>
      <c r="B3" s="1280" t="s">
        <v>114</v>
      </c>
      <c r="C3" s="1281">
        <f>C4+C9+C10+C11+C12+C13+C14+C18+C19+C27</f>
        <v>96764</v>
      </c>
      <c r="D3" s="1281">
        <f>D4+D9+D10+D11+D12+D13+D14+D18+D19+D27</f>
        <v>86438579</v>
      </c>
      <c r="E3" s="1281">
        <f>E4+E9+E10+E11+E12+E13+E14+E18+E19+E27</f>
        <v>6800000</v>
      </c>
      <c r="F3" s="1281">
        <f>F4+F9+F10+F11+F12+F13+F14+F18+F19+F27</f>
        <v>0</v>
      </c>
      <c r="G3" s="1281">
        <f>SUM(D3:F3)</f>
        <v>93238579</v>
      </c>
      <c r="H3" s="1282">
        <f>G3/(C3*1000)</f>
        <v>0.96</v>
      </c>
    </row>
    <row r="4" spans="1:8" s="1278" customFormat="1" ht="15" customHeight="1">
      <c r="A4" s="1283"/>
      <c r="B4" s="1289" t="s">
        <v>634</v>
      </c>
      <c r="C4" s="1266">
        <f>SUM(C5:C8)</f>
        <v>74077</v>
      </c>
      <c r="D4" s="1266">
        <f>SUM(D5:D8)</f>
        <v>68427600</v>
      </c>
      <c r="E4" s="1266">
        <f>SUM(E5:E8)</f>
        <v>6500000</v>
      </c>
      <c r="F4" s="1266">
        <f>SUM(F5:F8)</f>
        <v>0</v>
      </c>
      <c r="G4" s="1266">
        <f aca="true" t="shared" si="0" ref="G4:G71">SUM(D4:F4)</f>
        <v>74927600</v>
      </c>
      <c r="H4" s="1260">
        <f>G4/(C4*1000)</f>
        <v>1.01</v>
      </c>
    </row>
    <row r="5" spans="1:8" s="1278" customFormat="1" ht="15" customHeight="1">
      <c r="A5" s="1283"/>
      <c r="B5" s="1258" t="s">
        <v>1273</v>
      </c>
      <c r="C5" s="1285">
        <v>69077</v>
      </c>
      <c r="D5" s="1285">
        <v>68427600</v>
      </c>
      <c r="E5" s="1285"/>
      <c r="F5" s="1285"/>
      <c r="G5" s="1264">
        <f t="shared" si="0"/>
        <v>68427600</v>
      </c>
      <c r="H5" s="798">
        <f>G5/(C5*1000)</f>
        <v>0.99</v>
      </c>
    </row>
    <row r="6" spans="1:8" s="1278" customFormat="1" ht="15" customHeight="1">
      <c r="A6" s="1283"/>
      <c r="B6" s="1258" t="s">
        <v>579</v>
      </c>
      <c r="C6" s="1285"/>
      <c r="D6" s="1285"/>
      <c r="E6" s="1285"/>
      <c r="F6" s="1285"/>
      <c r="G6" s="1264">
        <f t="shared" si="0"/>
        <v>0</v>
      </c>
      <c r="H6" s="798"/>
    </row>
    <row r="7" spans="1:8" s="1278" customFormat="1" ht="15" customHeight="1">
      <c r="A7" s="1283"/>
      <c r="B7" s="1258" t="s">
        <v>580</v>
      </c>
      <c r="C7" s="1285">
        <v>5000</v>
      </c>
      <c r="D7" s="1285"/>
      <c r="E7" s="1285">
        <v>5000000</v>
      </c>
      <c r="F7" s="1285"/>
      <c r="G7" s="1264">
        <f t="shared" si="0"/>
        <v>5000000</v>
      </c>
      <c r="H7" s="798">
        <f>G7/(C7*1000)</f>
        <v>1</v>
      </c>
    </row>
    <row r="8" spans="1:8" s="1278" customFormat="1" ht="15" customHeight="1">
      <c r="A8" s="1283"/>
      <c r="B8" s="1258" t="s">
        <v>1136</v>
      </c>
      <c r="C8" s="1285"/>
      <c r="D8" s="1285"/>
      <c r="E8" s="1285">
        <v>1500000</v>
      </c>
      <c r="F8" s="1285"/>
      <c r="G8" s="1264">
        <f t="shared" si="0"/>
        <v>1500000</v>
      </c>
      <c r="H8" s="798"/>
    </row>
    <row r="9" spans="1:8" s="1278" customFormat="1" ht="15" customHeight="1">
      <c r="A9" s="1283"/>
      <c r="B9" s="1289" t="s">
        <v>638</v>
      </c>
      <c r="C9" s="1286"/>
      <c r="D9" s="1286"/>
      <c r="E9" s="1286"/>
      <c r="F9" s="1286"/>
      <c r="G9" s="1272">
        <f t="shared" si="0"/>
        <v>0</v>
      </c>
      <c r="H9" s="1287"/>
    </row>
    <row r="10" spans="1:8" s="1278" customFormat="1" ht="31.5">
      <c r="A10" s="1283"/>
      <c r="B10" s="1289" t="s">
        <v>582</v>
      </c>
      <c r="C10" s="1286"/>
      <c r="D10" s="1286"/>
      <c r="E10" s="1286"/>
      <c r="F10" s="1286"/>
      <c r="G10" s="1272">
        <f t="shared" si="0"/>
        <v>0</v>
      </c>
      <c r="H10" s="1287"/>
    </row>
    <row r="11" spans="1:8" s="1278" customFormat="1" ht="15" customHeight="1">
      <c r="A11" s="1283"/>
      <c r="B11" s="1289" t="s">
        <v>639</v>
      </c>
      <c r="C11" s="1286"/>
      <c r="D11" s="1286"/>
      <c r="E11" s="1286"/>
      <c r="F11" s="1286"/>
      <c r="G11" s="1272">
        <f t="shared" si="0"/>
        <v>0</v>
      </c>
      <c r="H11" s="1287"/>
    </row>
    <row r="12" spans="1:8" s="1278" customFormat="1" ht="15" customHeight="1">
      <c r="A12" s="1283"/>
      <c r="B12" s="1289" t="s">
        <v>640</v>
      </c>
      <c r="C12" s="1286"/>
      <c r="D12" s="1286"/>
      <c r="E12" s="1286"/>
      <c r="F12" s="1286"/>
      <c r="G12" s="1272">
        <f t="shared" si="0"/>
        <v>0</v>
      </c>
      <c r="H12" s="1287"/>
    </row>
    <row r="13" spans="1:8" s="1278" customFormat="1" ht="15" customHeight="1">
      <c r="A13" s="1283"/>
      <c r="B13" s="1289" t="s">
        <v>641</v>
      </c>
      <c r="C13" s="1261"/>
      <c r="D13" s="1261"/>
      <c r="E13" s="1261"/>
      <c r="F13" s="1261"/>
      <c r="G13" s="1266">
        <f t="shared" si="0"/>
        <v>0</v>
      </c>
      <c r="H13" s="1260"/>
    </row>
    <row r="14" spans="1:8" s="1265" customFormat="1" ht="15" customHeight="1">
      <c r="A14" s="1288"/>
      <c r="B14" s="1289" t="s">
        <v>642</v>
      </c>
      <c r="C14" s="1261">
        <f>SUM(C15:C17)</f>
        <v>12887</v>
      </c>
      <c r="D14" s="1261">
        <f>SUM(D15:D17)</f>
        <v>8210979</v>
      </c>
      <c r="E14" s="1261">
        <f>SUM(E15:E17)</f>
        <v>300000</v>
      </c>
      <c r="F14" s="1261">
        <f>SUM(F15:F17)</f>
        <v>0</v>
      </c>
      <c r="G14" s="1266">
        <f t="shared" si="0"/>
        <v>8510979</v>
      </c>
      <c r="H14" s="1260">
        <f>G14/(C14*1000)</f>
        <v>0.66</v>
      </c>
    </row>
    <row r="15" spans="1:8" s="1278" customFormat="1" ht="15" customHeight="1">
      <c r="A15" s="1283"/>
      <c r="B15" s="1284" t="s">
        <v>5</v>
      </c>
      <c r="C15" s="1285">
        <v>3800</v>
      </c>
      <c r="D15" s="1285">
        <v>3100000</v>
      </c>
      <c r="E15" s="1285"/>
      <c r="F15" s="1285"/>
      <c r="G15" s="1264">
        <f t="shared" si="0"/>
        <v>3100000</v>
      </c>
      <c r="H15" s="798">
        <f>G15/(C15*1000)</f>
        <v>0.82</v>
      </c>
    </row>
    <row r="16" spans="1:8" s="1278" customFormat="1" ht="15.75">
      <c r="A16" s="1283"/>
      <c r="B16" s="1284" t="s">
        <v>6</v>
      </c>
      <c r="C16" s="1285">
        <v>300</v>
      </c>
      <c r="D16" s="1285"/>
      <c r="E16" s="1285">
        <v>300000</v>
      </c>
      <c r="F16" s="1285"/>
      <c r="G16" s="1264">
        <f t="shared" si="0"/>
        <v>300000</v>
      </c>
      <c r="H16" s="798">
        <f>G16/(C16*1000)</f>
        <v>1</v>
      </c>
    </row>
    <row r="17" spans="1:8" s="1278" customFormat="1" ht="15.75">
      <c r="A17" s="1283"/>
      <c r="B17" s="1284" t="s">
        <v>1055</v>
      </c>
      <c r="C17" s="1285">
        <v>8787</v>
      </c>
      <c r="D17" s="1285">
        <v>5110979</v>
      </c>
      <c r="E17" s="1285"/>
      <c r="F17" s="1285"/>
      <c r="G17" s="1264">
        <f t="shared" si="0"/>
        <v>5110979</v>
      </c>
      <c r="H17" s="798">
        <f>G17/(C17*1000)</f>
        <v>0.58</v>
      </c>
    </row>
    <row r="18" spans="1:8" s="1278" customFormat="1" ht="15.75">
      <c r="A18" s="1283"/>
      <c r="B18" s="1289" t="s">
        <v>643</v>
      </c>
      <c r="C18" s="1290"/>
      <c r="D18" s="1290"/>
      <c r="E18" s="1290"/>
      <c r="F18" s="1290"/>
      <c r="G18" s="1272">
        <f t="shared" si="0"/>
        <v>0</v>
      </c>
      <c r="H18" s="798"/>
    </row>
    <row r="19" spans="1:8" s="1265" customFormat="1" ht="15" customHeight="1">
      <c r="A19" s="1288"/>
      <c r="B19" s="1289" t="s">
        <v>644</v>
      </c>
      <c r="C19" s="1261">
        <f>SUM(C20:C26)</f>
        <v>9800</v>
      </c>
      <c r="D19" s="1261">
        <f>SUM(D20:D26)</f>
        <v>9800000</v>
      </c>
      <c r="E19" s="1290">
        <f>SUM(E20:E26)</f>
        <v>0</v>
      </c>
      <c r="F19" s="1290">
        <f>SUM(F20:F26)</f>
        <v>0</v>
      </c>
      <c r="G19" s="1266">
        <f t="shared" si="0"/>
        <v>9800000</v>
      </c>
      <c r="H19" s="1260">
        <f aca="true" t="shared" si="1" ref="H19:H26">G19/(C19*1000)</f>
        <v>1</v>
      </c>
    </row>
    <row r="20" spans="1:8" s="1278" customFormat="1" ht="15" customHeight="1">
      <c r="A20" s="1283"/>
      <c r="B20" s="1284" t="s">
        <v>802</v>
      </c>
      <c r="C20" s="1285">
        <v>3000</v>
      </c>
      <c r="D20" s="1285">
        <v>3000000</v>
      </c>
      <c r="E20" s="1285"/>
      <c r="F20" s="1285"/>
      <c r="G20" s="1264">
        <f aca="true" t="shared" si="2" ref="G20:G26">SUM(D20:F20)</f>
        <v>3000000</v>
      </c>
      <c r="H20" s="798">
        <f t="shared" si="1"/>
        <v>1</v>
      </c>
    </row>
    <row r="21" spans="1:8" s="1278" customFormat="1" ht="15" customHeight="1">
      <c r="A21" s="1283"/>
      <c r="B21" s="1284" t="s">
        <v>0</v>
      </c>
      <c r="C21" s="1285">
        <v>500</v>
      </c>
      <c r="D21" s="1285">
        <v>500000</v>
      </c>
      <c r="E21" s="1285"/>
      <c r="F21" s="1285"/>
      <c r="G21" s="1264">
        <f t="shared" si="2"/>
        <v>500000</v>
      </c>
      <c r="H21" s="798">
        <f t="shared" si="1"/>
        <v>1</v>
      </c>
    </row>
    <row r="22" spans="1:8" s="1278" customFormat="1" ht="15" customHeight="1">
      <c r="A22" s="1283"/>
      <c r="B22" s="1284" t="s">
        <v>1</v>
      </c>
      <c r="C22" s="1285">
        <v>2500</v>
      </c>
      <c r="D22" s="1285">
        <v>2500000</v>
      </c>
      <c r="E22" s="1285"/>
      <c r="F22" s="1285"/>
      <c r="G22" s="1264">
        <f t="shared" si="2"/>
        <v>2500000</v>
      </c>
      <c r="H22" s="798">
        <f t="shared" si="1"/>
        <v>1</v>
      </c>
    </row>
    <row r="23" spans="1:8" s="1278" customFormat="1" ht="15" customHeight="1">
      <c r="A23" s="1283"/>
      <c r="B23" s="1284" t="s">
        <v>2</v>
      </c>
      <c r="C23" s="1285">
        <v>800</v>
      </c>
      <c r="D23" s="1285">
        <v>800000</v>
      </c>
      <c r="E23" s="1285"/>
      <c r="F23" s="1285"/>
      <c r="G23" s="1264">
        <f t="shared" si="2"/>
        <v>800000</v>
      </c>
      <c r="H23" s="798">
        <f t="shared" si="1"/>
        <v>1</v>
      </c>
    </row>
    <row r="24" spans="1:8" s="1278" customFormat="1" ht="15" customHeight="1">
      <c r="A24" s="1283"/>
      <c r="B24" s="1284" t="s">
        <v>3</v>
      </c>
      <c r="C24" s="1285">
        <v>500</v>
      </c>
      <c r="D24" s="1285">
        <v>500000</v>
      </c>
      <c r="E24" s="1285"/>
      <c r="F24" s="1285"/>
      <c r="G24" s="1264">
        <f t="shared" si="2"/>
        <v>500000</v>
      </c>
      <c r="H24" s="798">
        <f t="shared" si="1"/>
        <v>1</v>
      </c>
    </row>
    <row r="25" spans="1:8" s="1278" customFormat="1" ht="15" customHeight="1">
      <c r="A25" s="1283"/>
      <c r="B25" s="1284" t="s">
        <v>4</v>
      </c>
      <c r="C25" s="1285">
        <v>1000</v>
      </c>
      <c r="D25" s="1285">
        <v>1000000</v>
      </c>
      <c r="E25" s="1285"/>
      <c r="F25" s="1285"/>
      <c r="G25" s="1264">
        <f t="shared" si="2"/>
        <v>1000000</v>
      </c>
      <c r="H25" s="798">
        <f t="shared" si="1"/>
        <v>1</v>
      </c>
    </row>
    <row r="26" spans="1:8" s="1278" customFormat="1" ht="15" customHeight="1">
      <c r="A26" s="1283"/>
      <c r="B26" s="1284" t="s">
        <v>1274</v>
      </c>
      <c r="C26" s="1285">
        <v>1500</v>
      </c>
      <c r="D26" s="1285">
        <v>1500000</v>
      </c>
      <c r="E26" s="1285"/>
      <c r="F26" s="1285"/>
      <c r="G26" s="1264">
        <f t="shared" si="2"/>
        <v>1500000</v>
      </c>
      <c r="H26" s="798">
        <f t="shared" si="1"/>
        <v>1</v>
      </c>
    </row>
    <row r="27" spans="1:8" s="1278" customFormat="1" ht="32.25" thickBot="1">
      <c r="A27" s="1291"/>
      <c r="B27" s="1330" t="s">
        <v>645</v>
      </c>
      <c r="C27" s="1262"/>
      <c r="D27" s="1262"/>
      <c r="E27" s="1262"/>
      <c r="F27" s="1262"/>
      <c r="G27" s="1293">
        <f t="shared" si="0"/>
        <v>0</v>
      </c>
      <c r="H27" s="1263"/>
    </row>
    <row r="28" spans="1:8" s="1113" customFormat="1" ht="19.5" customHeight="1">
      <c r="A28" s="1279" t="s">
        <v>647</v>
      </c>
      <c r="B28" s="1280" t="s">
        <v>173</v>
      </c>
      <c r="C28" s="1281">
        <f>SUM(C29:C30)</f>
        <v>200</v>
      </c>
      <c r="D28" s="1281">
        <f>SUM(D29:D30)</f>
        <v>0</v>
      </c>
      <c r="E28" s="1281">
        <f>SUM(E29:E30)</f>
        <v>100000</v>
      </c>
      <c r="F28" s="1281">
        <f>SUM(F29:F30)</f>
        <v>0</v>
      </c>
      <c r="G28" s="1281">
        <f t="shared" si="0"/>
        <v>100000</v>
      </c>
      <c r="H28" s="1282">
        <f aca="true" t="shared" si="3" ref="H28:H33">G28/(C28*1000)</f>
        <v>0.5</v>
      </c>
    </row>
    <row r="29" spans="1:8" s="1278" customFormat="1" ht="15" customHeight="1">
      <c r="A29" s="1283"/>
      <c r="B29" s="1284" t="s">
        <v>174</v>
      </c>
      <c r="C29" s="1264">
        <v>100</v>
      </c>
      <c r="D29" s="1264"/>
      <c r="E29" s="1285">
        <v>100000</v>
      </c>
      <c r="F29" s="1264"/>
      <c r="G29" s="1264">
        <f t="shared" si="0"/>
        <v>100000</v>
      </c>
      <c r="H29" s="798">
        <f t="shared" si="3"/>
        <v>1</v>
      </c>
    </row>
    <row r="30" spans="1:8" s="1278" customFormat="1" ht="15" customHeight="1" thickBot="1">
      <c r="A30" s="1291"/>
      <c r="B30" s="1292" t="s">
        <v>175</v>
      </c>
      <c r="C30" s="1273">
        <v>100</v>
      </c>
      <c r="D30" s="1273"/>
      <c r="E30" s="1296"/>
      <c r="F30" s="1273"/>
      <c r="G30" s="1273">
        <f t="shared" si="0"/>
        <v>0</v>
      </c>
      <c r="H30" s="1297">
        <f t="shared" si="3"/>
        <v>0</v>
      </c>
    </row>
    <row r="31" spans="1:8" s="1113" customFormat="1" ht="19.5" customHeight="1">
      <c r="A31" s="1294" t="s">
        <v>570</v>
      </c>
      <c r="B31" s="1295" t="s">
        <v>648</v>
      </c>
      <c r="C31" s="1274">
        <f>C32+C35+C43+C44+C45+C46+C47+C50+C51+C53</f>
        <v>68100</v>
      </c>
      <c r="D31" s="1274">
        <f>D32+D35+D43+D44+D45+D46+D47+D50+D51+D53</f>
        <v>2500000</v>
      </c>
      <c r="E31" s="1274">
        <f>E32+E35+E43+E44+E45+E46+E47+E50+E51+E53</f>
        <v>66000000</v>
      </c>
      <c r="F31" s="1274">
        <f>F32+F35+F43+F44+F45+F46+F47+F50+F51+F53</f>
        <v>0</v>
      </c>
      <c r="G31" s="1274">
        <f t="shared" si="0"/>
        <v>68500000</v>
      </c>
      <c r="H31" s="1270">
        <f t="shared" si="3"/>
        <v>1.01</v>
      </c>
    </row>
    <row r="32" spans="1:8" s="1265" customFormat="1" ht="15" customHeight="1">
      <c r="A32" s="1298"/>
      <c r="B32" s="1289" t="s">
        <v>658</v>
      </c>
      <c r="C32" s="1266">
        <f>C33</f>
        <v>15000</v>
      </c>
      <c r="D32" s="1266">
        <f>D33</f>
        <v>0</v>
      </c>
      <c r="E32" s="1261">
        <f>E33</f>
        <v>15000000</v>
      </c>
      <c r="F32" s="1266">
        <f>F33</f>
        <v>0</v>
      </c>
      <c r="G32" s="1266">
        <f t="shared" si="0"/>
        <v>15000000</v>
      </c>
      <c r="H32" s="1260">
        <f t="shared" si="3"/>
        <v>1</v>
      </c>
    </row>
    <row r="33" spans="1:8" s="1278" customFormat="1" ht="15" customHeight="1">
      <c r="A33" s="1298"/>
      <c r="B33" s="1284" t="s">
        <v>1138</v>
      </c>
      <c r="C33" s="1264">
        <v>15000</v>
      </c>
      <c r="D33" s="1285"/>
      <c r="E33" s="1285">
        <v>15000000</v>
      </c>
      <c r="F33" s="1264"/>
      <c r="G33" s="1264">
        <f t="shared" si="0"/>
        <v>15000000</v>
      </c>
      <c r="H33" s="798">
        <f t="shared" si="3"/>
        <v>1</v>
      </c>
    </row>
    <row r="34" spans="1:8" s="1278" customFormat="1" ht="15" customHeight="1">
      <c r="A34" s="1298"/>
      <c r="B34" s="1289" t="s">
        <v>819</v>
      </c>
      <c r="C34" s="1264"/>
      <c r="D34" s="1285"/>
      <c r="E34" s="1285"/>
      <c r="F34" s="1264"/>
      <c r="G34" s="1264"/>
      <c r="H34" s="798"/>
    </row>
    <row r="35" spans="1:8" s="1265" customFormat="1" ht="15" customHeight="1">
      <c r="A35" s="1298"/>
      <c r="B35" s="1299" t="s">
        <v>820</v>
      </c>
      <c r="C35" s="1266">
        <f>SUM(C36:C42)</f>
        <v>25100</v>
      </c>
      <c r="D35" s="1261">
        <f>SUM(D36:D42)</f>
        <v>0</v>
      </c>
      <c r="E35" s="1261">
        <f>SUM(E36:E42)</f>
        <v>22000000</v>
      </c>
      <c r="F35" s="1266">
        <f>SUM(F36:F42)</f>
        <v>0</v>
      </c>
      <c r="G35" s="1266">
        <f t="shared" si="0"/>
        <v>22000000</v>
      </c>
      <c r="H35" s="1260">
        <f>G35/(C35*1000)</f>
        <v>0.88</v>
      </c>
    </row>
    <row r="36" spans="1:8" s="1278" customFormat="1" ht="15.75">
      <c r="A36" s="1298"/>
      <c r="B36" s="1258" t="s">
        <v>1275</v>
      </c>
      <c r="C36" s="1264">
        <v>500</v>
      </c>
      <c r="D36" s="1285"/>
      <c r="E36" s="1285"/>
      <c r="F36" s="1264"/>
      <c r="G36" s="1264">
        <f t="shared" si="0"/>
        <v>0</v>
      </c>
      <c r="H36" s="798">
        <f>G36/(C36*1000)</f>
        <v>0</v>
      </c>
    </row>
    <row r="37" spans="1:8" s="1278" customFormat="1" ht="15" customHeight="1">
      <c r="A37" s="1298"/>
      <c r="B37" s="1258" t="s">
        <v>1263</v>
      </c>
      <c r="C37" s="1264">
        <v>500</v>
      </c>
      <c r="D37" s="1285"/>
      <c r="E37" s="1285">
        <v>1000000</v>
      </c>
      <c r="F37" s="1264"/>
      <c r="G37" s="1264">
        <f t="shared" si="0"/>
        <v>1000000</v>
      </c>
      <c r="H37" s="798">
        <f>G37/(C37*1000)</f>
        <v>2</v>
      </c>
    </row>
    <row r="38" spans="1:8" s="1278" customFormat="1" ht="15" customHeight="1">
      <c r="A38" s="1298"/>
      <c r="B38" s="1258" t="s">
        <v>1268</v>
      </c>
      <c r="C38" s="1285">
        <v>18000</v>
      </c>
      <c r="D38" s="1285"/>
      <c r="E38" s="1285">
        <v>13000000</v>
      </c>
      <c r="F38" s="1271"/>
      <c r="G38" s="1264">
        <f t="shared" si="0"/>
        <v>13000000</v>
      </c>
      <c r="H38" s="798">
        <f>G38/(C38*1000)</f>
        <v>0.72</v>
      </c>
    </row>
    <row r="39" spans="1:8" s="1278" customFormat="1" ht="15" customHeight="1">
      <c r="A39" s="1298"/>
      <c r="B39" s="1258" t="s">
        <v>1264</v>
      </c>
      <c r="C39" s="1300"/>
      <c r="D39" s="1285"/>
      <c r="E39" s="1285"/>
      <c r="F39" s="1271"/>
      <c r="G39" s="1264">
        <f t="shared" si="0"/>
        <v>0</v>
      </c>
      <c r="H39" s="798"/>
    </row>
    <row r="40" spans="1:8" s="1278" customFormat="1" ht="15" customHeight="1">
      <c r="A40" s="1298"/>
      <c r="B40" s="1258" t="s">
        <v>1265</v>
      </c>
      <c r="C40" s="1264">
        <v>1000</v>
      </c>
      <c r="D40" s="1285"/>
      <c r="E40" s="1285">
        <v>1000000</v>
      </c>
      <c r="F40" s="1271"/>
      <c r="G40" s="1264">
        <f t="shared" si="0"/>
        <v>1000000</v>
      </c>
      <c r="H40" s="798">
        <f>G40/(C40*1000)</f>
        <v>1</v>
      </c>
    </row>
    <row r="41" spans="1:8" s="1278" customFormat="1" ht="15" customHeight="1">
      <c r="A41" s="1298"/>
      <c r="B41" s="1258" t="s">
        <v>1266</v>
      </c>
      <c r="C41" s="1300">
        <v>100</v>
      </c>
      <c r="D41" s="1285"/>
      <c r="E41" s="1285"/>
      <c r="F41" s="1271"/>
      <c r="G41" s="1264">
        <f t="shared" si="0"/>
        <v>0</v>
      </c>
      <c r="H41" s="798"/>
    </row>
    <row r="42" spans="1:8" s="1278" customFormat="1" ht="15" customHeight="1">
      <c r="A42" s="1298"/>
      <c r="B42" s="1258" t="s">
        <v>1267</v>
      </c>
      <c r="C42" s="1264">
        <v>5000</v>
      </c>
      <c r="D42" s="1285"/>
      <c r="E42" s="1285">
        <v>7000000</v>
      </c>
      <c r="F42" s="1264"/>
      <c r="G42" s="1264">
        <f t="shared" si="0"/>
        <v>7000000</v>
      </c>
      <c r="H42" s="798">
        <f>G42/(C42*1000)</f>
        <v>1.4</v>
      </c>
    </row>
    <row r="43" spans="1:8" s="1265" customFormat="1" ht="15" customHeight="1">
      <c r="A43" s="1298"/>
      <c r="B43" s="1289" t="s">
        <v>821</v>
      </c>
      <c r="C43" s="1266"/>
      <c r="D43" s="1261"/>
      <c r="E43" s="1261"/>
      <c r="F43" s="1266"/>
      <c r="G43" s="1266">
        <f t="shared" si="0"/>
        <v>0</v>
      </c>
      <c r="H43" s="1260"/>
    </row>
    <row r="44" spans="1:8" s="1278" customFormat="1" ht="15" customHeight="1">
      <c r="A44" s="1301"/>
      <c r="B44" s="1289" t="s">
        <v>822</v>
      </c>
      <c r="C44" s="1264"/>
      <c r="D44" s="1285"/>
      <c r="E44" s="1285"/>
      <c r="F44" s="1264"/>
      <c r="G44" s="1264">
        <f t="shared" si="0"/>
        <v>0</v>
      </c>
      <c r="H44" s="798"/>
    </row>
    <row r="45" spans="1:8" s="1278" customFormat="1" ht="15" customHeight="1">
      <c r="A45" s="1301"/>
      <c r="B45" s="1289" t="s">
        <v>823</v>
      </c>
      <c r="C45" s="1264"/>
      <c r="D45" s="1285"/>
      <c r="E45" s="1285"/>
      <c r="F45" s="1264"/>
      <c r="G45" s="1264">
        <f t="shared" si="0"/>
        <v>0</v>
      </c>
      <c r="H45" s="798"/>
    </row>
    <row r="46" spans="1:8" s="1278" customFormat="1" ht="31.5">
      <c r="A46" s="1301"/>
      <c r="B46" s="1289" t="s">
        <v>824</v>
      </c>
      <c r="C46" s="1264"/>
      <c r="D46" s="1285"/>
      <c r="E46" s="1285"/>
      <c r="F46" s="1264"/>
      <c r="G46" s="1264">
        <f t="shared" si="0"/>
        <v>0</v>
      </c>
      <c r="H46" s="798"/>
    </row>
    <row r="47" spans="1:8" s="1265" customFormat="1" ht="15" customHeight="1">
      <c r="A47" s="1298"/>
      <c r="B47" s="1289" t="s">
        <v>825</v>
      </c>
      <c r="C47" s="1266">
        <f>SUM(C48:C49)</f>
        <v>22500</v>
      </c>
      <c r="D47" s="1261">
        <f>SUM(D48:D49)</f>
        <v>2500000</v>
      </c>
      <c r="E47" s="1261">
        <f>SUM(E48:E49)</f>
        <v>25000000</v>
      </c>
      <c r="F47" s="1266">
        <f>SUM(F48:F49)</f>
        <v>0</v>
      </c>
      <c r="G47" s="1266">
        <f t="shared" si="0"/>
        <v>27500000</v>
      </c>
      <c r="H47" s="1260">
        <f>G47/(C47*1000)</f>
        <v>1.22</v>
      </c>
    </row>
    <row r="48" spans="1:8" s="1265" customFormat="1" ht="15" customHeight="1">
      <c r="A48" s="1298"/>
      <c r="B48" s="1258" t="s">
        <v>826</v>
      </c>
      <c r="C48" s="1302">
        <v>20000</v>
      </c>
      <c r="D48" s="1285"/>
      <c r="E48" s="1285">
        <v>25000000</v>
      </c>
      <c r="F48" s="1264"/>
      <c r="G48" s="1264">
        <f t="shared" si="0"/>
        <v>25000000</v>
      </c>
      <c r="H48" s="798">
        <f>G48/(C48*1000)</f>
        <v>1.25</v>
      </c>
    </row>
    <row r="49" spans="1:8" s="1265" customFormat="1" ht="15" customHeight="1">
      <c r="A49" s="1298"/>
      <c r="B49" s="1258" t="s">
        <v>827</v>
      </c>
      <c r="C49" s="1302">
        <v>2500</v>
      </c>
      <c r="D49" s="1303">
        <v>2500000</v>
      </c>
      <c r="E49" s="1303"/>
      <c r="F49" s="1302"/>
      <c r="G49" s="1264">
        <f t="shared" si="0"/>
        <v>2500000</v>
      </c>
      <c r="H49" s="798">
        <f>G49/(C49*1000)</f>
        <v>1</v>
      </c>
    </row>
    <row r="50" spans="1:8" s="1278" customFormat="1" ht="15.75">
      <c r="A50" s="1298"/>
      <c r="B50" s="1289" t="s">
        <v>652</v>
      </c>
      <c r="C50" s="1264"/>
      <c r="D50" s="796"/>
      <c r="E50" s="1285"/>
      <c r="F50" s="796"/>
      <c r="G50" s="1264">
        <f t="shared" si="0"/>
        <v>0</v>
      </c>
      <c r="H50" s="798"/>
    </row>
    <row r="51" spans="1:8" s="1265" customFormat="1" ht="15" customHeight="1">
      <c r="A51" s="1298"/>
      <c r="B51" s="1289" t="s">
        <v>653</v>
      </c>
      <c r="C51" s="1266">
        <f>SUM(C52)</f>
        <v>1500</v>
      </c>
      <c r="D51" s="1266">
        <f>SUM(D52)</f>
        <v>0</v>
      </c>
      <c r="E51" s="1261">
        <f>SUM(E52)</f>
        <v>0</v>
      </c>
      <c r="F51" s="1266">
        <f>SUM(F52)</f>
        <v>0</v>
      </c>
      <c r="G51" s="1266">
        <f t="shared" si="0"/>
        <v>0</v>
      </c>
      <c r="H51" s="1260"/>
    </row>
    <row r="52" spans="1:8" s="1278" customFormat="1" ht="15" customHeight="1">
      <c r="A52" s="1304"/>
      <c r="B52" s="1305" t="s">
        <v>914</v>
      </c>
      <c r="C52" s="1267">
        <v>1500</v>
      </c>
      <c r="D52" s="1267"/>
      <c r="E52" s="1268"/>
      <c r="F52" s="1267"/>
      <c r="G52" s="1266"/>
      <c r="H52" s="1269"/>
    </row>
    <row r="53" spans="1:8" s="1278" customFormat="1" ht="15" customHeight="1" thickBot="1">
      <c r="A53" s="1729"/>
      <c r="B53" s="1730" t="s">
        <v>651</v>
      </c>
      <c r="C53" s="1293">
        <v>4000</v>
      </c>
      <c r="D53" s="1293"/>
      <c r="E53" s="1262">
        <v>4000000</v>
      </c>
      <c r="F53" s="1293"/>
      <c r="G53" s="1293">
        <f t="shared" si="0"/>
        <v>4000000</v>
      </c>
      <c r="H53" s="1263">
        <f>G53/(C53*1000)</f>
        <v>1</v>
      </c>
    </row>
    <row r="54" spans="1:8" s="1113" customFormat="1" ht="19.5" customHeight="1">
      <c r="A54" s="1279" t="s">
        <v>654</v>
      </c>
      <c r="B54" s="1280" t="s">
        <v>655</v>
      </c>
      <c r="C54" s="1281">
        <f>C55+C58+C59+C60+C61+C62+C63+C65+C66+C67</f>
        <v>6174</v>
      </c>
      <c r="D54" s="1281">
        <f>D55+D58+D59+D60+D61+D62+D63+D65+D66+D67</f>
        <v>332061</v>
      </c>
      <c r="E54" s="1281">
        <f>E55+E58+E59+E60+E61+E62+E63+E65+E66+E67</f>
        <v>3300000</v>
      </c>
      <c r="F54" s="1281">
        <f>F55+F58+F59+F60+F61+F62+F63+F65+F66+F67</f>
        <v>0</v>
      </c>
      <c r="G54" s="1281">
        <f t="shared" si="0"/>
        <v>3632061</v>
      </c>
      <c r="H54" s="1282">
        <f>G54/(C54*1000)</f>
        <v>0.59</v>
      </c>
    </row>
    <row r="55" spans="1:8" s="1265" customFormat="1" ht="15" customHeight="1">
      <c r="A55" s="1306"/>
      <c r="B55" s="1289" t="s">
        <v>634</v>
      </c>
      <c r="C55" s="1266">
        <f>+C56+C57</f>
        <v>2174</v>
      </c>
      <c r="D55" s="1266">
        <f>+D56+D57</f>
        <v>332061</v>
      </c>
      <c r="E55" s="1266">
        <f>+E56+E57</f>
        <v>2000000</v>
      </c>
      <c r="F55" s="1266">
        <f>+F56+F57</f>
        <v>0</v>
      </c>
      <c r="G55" s="1266">
        <f t="shared" si="0"/>
        <v>2332061</v>
      </c>
      <c r="H55" s="1260">
        <f>G55/(C55*1000)</f>
        <v>1.07</v>
      </c>
    </row>
    <row r="56" spans="1:8" s="1278" customFormat="1" ht="15" customHeight="1">
      <c r="A56" s="1306"/>
      <c r="B56" s="1258" t="s">
        <v>581</v>
      </c>
      <c r="C56" s="1264">
        <v>174</v>
      </c>
      <c r="D56" s="1285">
        <v>332061</v>
      </c>
      <c r="E56" s="1285"/>
      <c r="F56" s="1285"/>
      <c r="G56" s="1264">
        <f t="shared" si="0"/>
        <v>332061</v>
      </c>
      <c r="H56" s="798">
        <f>G56/(C56*1000)</f>
        <v>1.91</v>
      </c>
    </row>
    <row r="57" spans="1:8" s="1278" customFormat="1" ht="31.5">
      <c r="A57" s="1306"/>
      <c r="B57" s="1258" t="s">
        <v>1269</v>
      </c>
      <c r="C57" s="1264">
        <v>2000</v>
      </c>
      <c r="D57" s="1285"/>
      <c r="E57" s="1285">
        <v>2000000</v>
      </c>
      <c r="F57" s="1285"/>
      <c r="G57" s="1264">
        <f t="shared" si="0"/>
        <v>2000000</v>
      </c>
      <c r="H57" s="798">
        <f>G57/(C57*1000)</f>
        <v>1</v>
      </c>
    </row>
    <row r="58" spans="1:8" s="1278" customFormat="1" ht="15" customHeight="1">
      <c r="A58" s="1306"/>
      <c r="B58" s="1289" t="s">
        <v>638</v>
      </c>
      <c r="C58" s="1307"/>
      <c r="D58" s="1335"/>
      <c r="E58" s="1335"/>
      <c r="F58" s="1335"/>
      <c r="G58" s="1272">
        <f t="shared" si="0"/>
        <v>0</v>
      </c>
      <c r="H58" s="1287"/>
    </row>
    <row r="59" spans="1:8" s="1278" customFormat="1" ht="31.5">
      <c r="A59" s="1306"/>
      <c r="B59" s="1289" t="s">
        <v>582</v>
      </c>
      <c r="C59" s="1271"/>
      <c r="D59" s="1336"/>
      <c r="E59" s="1336"/>
      <c r="F59" s="1336"/>
      <c r="G59" s="1271">
        <f t="shared" si="0"/>
        <v>0</v>
      </c>
      <c r="H59" s="1308"/>
    </row>
    <row r="60" spans="1:8" s="1278" customFormat="1" ht="15" customHeight="1">
      <c r="A60" s="1306"/>
      <c r="B60" s="1289" t="s">
        <v>639</v>
      </c>
      <c r="C60" s="1264"/>
      <c r="D60" s="1285"/>
      <c r="E60" s="1285"/>
      <c r="F60" s="1285"/>
      <c r="G60" s="1264">
        <f t="shared" si="0"/>
        <v>0</v>
      </c>
      <c r="H60" s="798"/>
    </row>
    <row r="61" spans="1:8" s="1278" customFormat="1" ht="15" customHeight="1">
      <c r="A61" s="1306"/>
      <c r="B61" s="1289" t="s">
        <v>640</v>
      </c>
      <c r="C61" s="1272"/>
      <c r="D61" s="1337"/>
      <c r="E61" s="1337"/>
      <c r="F61" s="1337"/>
      <c r="G61" s="1272">
        <f t="shared" si="0"/>
        <v>0</v>
      </c>
      <c r="H61" s="798"/>
    </row>
    <row r="62" spans="1:8" s="1278" customFormat="1" ht="15" customHeight="1">
      <c r="A62" s="1306"/>
      <c r="B62" s="1289" t="s">
        <v>641</v>
      </c>
      <c r="C62" s="1309"/>
      <c r="D62" s="1261"/>
      <c r="E62" s="1261"/>
      <c r="F62" s="1261"/>
      <c r="G62" s="1266">
        <f t="shared" si="0"/>
        <v>0</v>
      </c>
      <c r="H62" s="1260"/>
    </row>
    <row r="63" spans="1:8" s="1278" customFormat="1" ht="15" customHeight="1">
      <c r="A63" s="1306"/>
      <c r="B63" s="1289" t="s">
        <v>642</v>
      </c>
      <c r="C63" s="1310">
        <f>SUM(C64:C64)</f>
        <v>4000</v>
      </c>
      <c r="D63" s="1338">
        <f>SUM(D64:D64)</f>
        <v>0</v>
      </c>
      <c r="E63" s="1261">
        <f>SUM(E64:E64)</f>
        <v>1300000</v>
      </c>
      <c r="F63" s="1338">
        <f>SUM(F64:F64)</f>
        <v>0</v>
      </c>
      <c r="G63" s="1266">
        <f t="shared" si="0"/>
        <v>1300000</v>
      </c>
      <c r="H63" s="1260">
        <f>G63/(C63*1000)</f>
        <v>0.33</v>
      </c>
    </row>
    <row r="64" spans="1:8" s="1278" customFormat="1" ht="31.5">
      <c r="A64" s="1306"/>
      <c r="B64" s="1258" t="s">
        <v>818</v>
      </c>
      <c r="C64" s="1264">
        <v>4000</v>
      </c>
      <c r="D64" s="1337"/>
      <c r="E64" s="1285">
        <v>1300000</v>
      </c>
      <c r="F64" s="1285"/>
      <c r="G64" s="1264">
        <f t="shared" si="0"/>
        <v>1300000</v>
      </c>
      <c r="H64" s="798">
        <f>G64/(C64*1000)</f>
        <v>0.33</v>
      </c>
    </row>
    <row r="65" spans="1:8" s="1278" customFormat="1" ht="15" customHeight="1">
      <c r="A65" s="1306"/>
      <c r="B65" s="1289" t="s">
        <v>643</v>
      </c>
      <c r="C65" s="1264"/>
      <c r="D65" s="1264"/>
      <c r="E65" s="1264"/>
      <c r="F65" s="1264"/>
      <c r="G65" s="1264">
        <f t="shared" si="0"/>
        <v>0</v>
      </c>
      <c r="H65" s="798"/>
    </row>
    <row r="66" spans="1:8" s="1278" customFormat="1" ht="31.5">
      <c r="A66" s="1306"/>
      <c r="B66" s="1289" t="s">
        <v>644</v>
      </c>
      <c r="C66" s="1264"/>
      <c r="D66" s="1264"/>
      <c r="E66" s="1264"/>
      <c r="F66" s="1264"/>
      <c r="G66" s="1264">
        <f t="shared" si="0"/>
        <v>0</v>
      </c>
      <c r="H66" s="1287"/>
    </row>
    <row r="67" spans="1:8" s="1278" customFormat="1" ht="32.25" thickBot="1">
      <c r="A67" s="1311"/>
      <c r="B67" s="1330" t="s">
        <v>645</v>
      </c>
      <c r="C67" s="1273"/>
      <c r="D67" s="1273"/>
      <c r="E67" s="1273"/>
      <c r="F67" s="1273"/>
      <c r="G67" s="1273">
        <f t="shared" si="0"/>
        <v>0</v>
      </c>
      <c r="H67" s="1312"/>
    </row>
    <row r="68" spans="1:8" s="1113" customFormat="1" ht="19.5" customHeight="1" thickBot="1">
      <c r="A68" s="1331" t="s">
        <v>656</v>
      </c>
      <c r="B68" s="1332" t="s">
        <v>176</v>
      </c>
      <c r="C68" s="1333"/>
      <c r="D68" s="1333"/>
      <c r="E68" s="1333"/>
      <c r="F68" s="1333"/>
      <c r="G68" s="1333"/>
      <c r="H68" s="1334"/>
    </row>
    <row r="69" spans="1:8" s="1113" customFormat="1" ht="19.5" customHeight="1">
      <c r="A69" s="1294" t="s">
        <v>172</v>
      </c>
      <c r="B69" s="1295" t="s">
        <v>657</v>
      </c>
      <c r="C69" s="1274">
        <f>+C70</f>
        <v>0</v>
      </c>
      <c r="D69" s="1274">
        <f>+D70</f>
        <v>0</v>
      </c>
      <c r="E69" s="1274">
        <f>+E70</f>
        <v>9150000</v>
      </c>
      <c r="F69" s="1274">
        <f>+F70</f>
        <v>0</v>
      </c>
      <c r="G69" s="1274">
        <f t="shared" si="0"/>
        <v>9150000</v>
      </c>
      <c r="H69" s="1270"/>
    </row>
    <row r="70" spans="1:8" s="1265" customFormat="1" ht="15" customHeight="1">
      <c r="A70" s="1306"/>
      <c r="B70" s="1289" t="s">
        <v>1137</v>
      </c>
      <c r="C70" s="1266">
        <f>SUM(C71:C72)</f>
        <v>0</v>
      </c>
      <c r="D70" s="1266">
        <f>SUM(D71:D72)</f>
        <v>0</v>
      </c>
      <c r="E70" s="1266">
        <f>SUM(E71:E73)</f>
        <v>9150000</v>
      </c>
      <c r="F70" s="1266">
        <f>SUM(F71:F72)</f>
        <v>0</v>
      </c>
      <c r="G70" s="1266">
        <f t="shared" si="0"/>
        <v>9150000</v>
      </c>
      <c r="H70" s="1313"/>
    </row>
    <row r="71" spans="1:8" s="1265" customFormat="1" ht="15" customHeight="1">
      <c r="A71" s="1314"/>
      <c r="B71" s="1258" t="s">
        <v>1270</v>
      </c>
      <c r="C71" s="1275"/>
      <c r="D71" s="1275"/>
      <c r="E71" s="1268">
        <v>4000000</v>
      </c>
      <c r="F71" s="1275"/>
      <c r="G71" s="1267">
        <f t="shared" si="0"/>
        <v>4000000</v>
      </c>
      <c r="H71" s="1315"/>
    </row>
    <row r="72" spans="1:8" s="1265" customFormat="1" ht="15" customHeight="1">
      <c r="A72" s="1306"/>
      <c r="B72" s="1258" t="s">
        <v>1271</v>
      </c>
      <c r="C72" s="1266"/>
      <c r="D72" s="1266"/>
      <c r="E72" s="1285">
        <v>2300000</v>
      </c>
      <c r="F72" s="1266"/>
      <c r="G72" s="1264">
        <f>SUM(D72:F72)</f>
        <v>2300000</v>
      </c>
      <c r="H72" s="1313"/>
    </row>
    <row r="73" spans="1:8" s="1265" customFormat="1" ht="15" customHeight="1" thickBot="1">
      <c r="A73" s="1311"/>
      <c r="B73" s="1259" t="s">
        <v>1272</v>
      </c>
      <c r="C73" s="1276"/>
      <c r="D73" s="1276"/>
      <c r="E73" s="1296">
        <v>2850000</v>
      </c>
      <c r="F73" s="1276"/>
      <c r="G73" s="1273">
        <f>SUM(D73:F73)</f>
        <v>2850000</v>
      </c>
      <c r="H73" s="1316"/>
    </row>
    <row r="74" spans="2:3" s="1278" customFormat="1" ht="16.5" thickBot="1">
      <c r="B74" s="1317"/>
      <c r="C74" s="1318"/>
    </row>
    <row r="75" spans="1:8" s="1278" customFormat="1" ht="15" customHeight="1" thickBot="1">
      <c r="A75" s="1319"/>
      <c r="B75" s="1850" t="s">
        <v>19</v>
      </c>
      <c r="C75" s="1850"/>
      <c r="D75" s="1320"/>
      <c r="E75" s="1320"/>
      <c r="F75" s="1320"/>
      <c r="G75" s="1320"/>
      <c r="H75" s="1321"/>
    </row>
    <row r="76" spans="1:8" s="1278" customFormat="1" ht="15" customHeight="1">
      <c r="A76" s="1322"/>
      <c r="B76" s="1323" t="s">
        <v>659</v>
      </c>
      <c r="C76" s="1324">
        <f>C3+C31+C28</f>
        <v>165064</v>
      </c>
      <c r="D76" s="1324">
        <f>D3+D31+D28</f>
        <v>88938579</v>
      </c>
      <c r="E76" s="1324">
        <f>E3+E31+E28</f>
        <v>72900000</v>
      </c>
      <c r="F76" s="1324">
        <f>F3+F31+F28</f>
        <v>0</v>
      </c>
      <c r="G76" s="1324">
        <f>G3+G31+G28</f>
        <v>161838579</v>
      </c>
      <c r="H76" s="1325">
        <f>G76/(C76*1000)</f>
        <v>0.98</v>
      </c>
    </row>
    <row r="77" spans="1:8" s="1278" customFormat="1" ht="15" customHeight="1" thickBot="1">
      <c r="A77" s="1326"/>
      <c r="B77" s="1327" t="s">
        <v>660</v>
      </c>
      <c r="C77" s="1273">
        <f>C54+C69</f>
        <v>6174</v>
      </c>
      <c r="D77" s="1273">
        <f>D54+D69+D68</f>
        <v>332061</v>
      </c>
      <c r="E77" s="1273">
        <f>E54+E69+E68</f>
        <v>12450000</v>
      </c>
      <c r="F77" s="1273">
        <f>F54+F69+F68</f>
        <v>0</v>
      </c>
      <c r="G77" s="1273">
        <f>SUM(D77:F77)</f>
        <v>12782061</v>
      </c>
      <c r="H77" s="1297">
        <f>G77/(C77*1000)</f>
        <v>2.07</v>
      </c>
    </row>
    <row r="78" spans="1:8" s="1278" customFormat="1" ht="15" customHeight="1" thickBot="1">
      <c r="A78" s="1319"/>
      <c r="B78" s="1320" t="s">
        <v>19</v>
      </c>
      <c r="C78" s="1328">
        <f>SUM(C76:C77)</f>
        <v>171238</v>
      </c>
      <c r="D78" s="1328">
        <f>SUM(D76:D77)</f>
        <v>89270640</v>
      </c>
      <c r="E78" s="1328">
        <f>SUM(E76:E77)</f>
        <v>85350000</v>
      </c>
      <c r="F78" s="1328">
        <f>SUM(F76:F77)</f>
        <v>0</v>
      </c>
      <c r="G78" s="1328">
        <f>SUM(G76:G77)</f>
        <v>174620640</v>
      </c>
      <c r="H78" s="1277">
        <f>G78/(C78*1000)</f>
        <v>1.02</v>
      </c>
    </row>
  </sheetData>
  <sheetProtection/>
  <mergeCells count="6">
    <mergeCell ref="A1:A2"/>
    <mergeCell ref="H1:H2"/>
    <mergeCell ref="B75:C75"/>
    <mergeCell ref="D1:G1"/>
    <mergeCell ref="C1:C2"/>
    <mergeCell ref="B1:B2"/>
  </mergeCells>
  <printOptions horizontalCentered="1"/>
  <pageMargins left="0.3937007874015748" right="0.3937007874015748" top="1.1811023622047245" bottom="1.1811023622047245" header="0.5118110236220472" footer="0.5118110236220472"/>
  <pageSetup fitToHeight="2" fitToWidth="1" orientation="portrait" paperSize="9" scale="63" r:id="rId1"/>
  <headerFooter alignWithMargins="0">
    <oddHeader>&amp;C&amp;"Times New Roman,Normál"
PESTERZSÉBET ÖNKORMÁNYZATÁNAK 2017. ÉVI ÁTADOTT PÉNZESZKÖZEI&amp;R&amp;"Times New Roman,Normál"2.4. sz. melléklet&amp;"MS Sans Serif,Normál"
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42">
    <pageSetUpPr fitToPage="1"/>
  </sheetPr>
  <dimension ref="A1:I46"/>
  <sheetViews>
    <sheetView zoomScalePageLayoutView="0" workbookViewId="0" topLeftCell="A1">
      <pane ySplit="1" topLeftCell="A32" activePane="bottomLeft" state="frozen"/>
      <selection pane="topLeft" activeCell="A5" sqref="A5"/>
      <selection pane="bottomLeft" activeCell="F5" sqref="F5"/>
    </sheetView>
  </sheetViews>
  <sheetFormatPr defaultColWidth="9.140625" defaultRowHeight="12.75"/>
  <cols>
    <col min="1" max="1" width="7.8515625" style="83" bestFit="1" customWidth="1"/>
    <col min="2" max="2" width="53.57421875" style="694" customWidth="1"/>
    <col min="3" max="3" width="15.140625" style="694" hidden="1" customWidth="1"/>
    <col min="4" max="4" width="14.28125" style="694" customWidth="1"/>
    <col min="5" max="6" width="15.421875" style="694" bestFit="1" customWidth="1"/>
    <col min="7" max="7" width="14.7109375" style="694" customWidth="1"/>
    <col min="8" max="8" width="15.421875" style="694" bestFit="1" customWidth="1"/>
    <col min="9" max="9" width="16.00390625" style="737" bestFit="1" customWidth="1"/>
    <col min="10" max="16384" width="9.140625" style="82" customWidth="1"/>
  </cols>
  <sheetData>
    <row r="1" spans="1:9" s="869" customFormat="1" ht="48" thickBot="1">
      <c r="A1" s="867" t="s">
        <v>569</v>
      </c>
      <c r="B1" s="868"/>
      <c r="C1" s="726" t="s">
        <v>462</v>
      </c>
      <c r="D1" s="1862" t="s">
        <v>1054</v>
      </c>
      <c r="E1" s="1859" t="s">
        <v>1050</v>
      </c>
      <c r="F1" s="1860"/>
      <c r="G1" s="1860"/>
      <c r="H1" s="1861"/>
      <c r="I1" s="1864" t="s">
        <v>1051</v>
      </c>
    </row>
    <row r="2" spans="1:9" s="872" customFormat="1" ht="39" thickBot="1">
      <c r="A2" s="870" t="s">
        <v>635</v>
      </c>
      <c r="B2" s="871" t="s">
        <v>571</v>
      </c>
      <c r="C2" s="727"/>
      <c r="D2" s="1863"/>
      <c r="E2" s="1122" t="s">
        <v>287</v>
      </c>
      <c r="F2" s="1122" t="s">
        <v>795</v>
      </c>
      <c r="G2" s="1122" t="s">
        <v>796</v>
      </c>
      <c r="H2" s="1122" t="s">
        <v>65</v>
      </c>
      <c r="I2" s="1865"/>
    </row>
    <row r="3" spans="1:9" s="280" customFormat="1" ht="30" customHeight="1">
      <c r="A3" s="1571"/>
      <c r="B3" s="1572" t="s">
        <v>629</v>
      </c>
      <c r="C3" s="861"/>
      <c r="D3" s="862">
        <f>SUM(D4:D27)</f>
        <v>257981</v>
      </c>
      <c r="E3" s="863">
        <f>SUM(E4:E27)</f>
        <v>169924938</v>
      </c>
      <c r="F3" s="864">
        <f>SUM(F4:F27)</f>
        <v>32500000</v>
      </c>
      <c r="G3" s="864">
        <f>SUM(G4:G27)</f>
        <v>0</v>
      </c>
      <c r="H3" s="865">
        <f aca="true" t="shared" si="0" ref="H3:H40">SUM(E3:G3)</f>
        <v>202424938</v>
      </c>
      <c r="I3" s="866">
        <f>H3/(D3*1000)</f>
        <v>0.78</v>
      </c>
    </row>
    <row r="4" spans="1:9" s="280" customFormat="1" ht="30" customHeight="1">
      <c r="A4" s="1573">
        <v>1</v>
      </c>
      <c r="B4" s="1574" t="s">
        <v>800</v>
      </c>
      <c r="C4" s="728"/>
      <c r="D4" s="729">
        <v>1500</v>
      </c>
      <c r="E4" s="995"/>
      <c r="F4" s="996">
        <v>2000000</v>
      </c>
      <c r="G4" s="730"/>
      <c r="H4" s="731">
        <f t="shared" si="0"/>
        <v>2000000</v>
      </c>
      <c r="I4" s="880">
        <f>H4/(D4*1000)</f>
        <v>1.33</v>
      </c>
    </row>
    <row r="5" spans="1:9" s="280" customFormat="1" ht="30" customHeight="1">
      <c r="A5" s="1575">
        <v>2</v>
      </c>
      <c r="B5" s="1576" t="s">
        <v>801</v>
      </c>
      <c r="C5" s="1577"/>
      <c r="D5" s="1578">
        <v>3000</v>
      </c>
      <c r="E5" s="1579"/>
      <c r="F5" s="797">
        <v>3000000</v>
      </c>
      <c r="G5" s="717"/>
      <c r="H5" s="1580">
        <f t="shared" si="0"/>
        <v>3000000</v>
      </c>
      <c r="I5" s="1581">
        <f aca="true" t="shared" si="1" ref="I5:I40">H5/(D5*1000)</f>
        <v>1</v>
      </c>
    </row>
    <row r="6" spans="1:9" s="280" customFormat="1" ht="30" customHeight="1">
      <c r="A6" s="1573">
        <v>3</v>
      </c>
      <c r="B6" s="1574" t="s">
        <v>1142</v>
      </c>
      <c r="C6" s="1577"/>
      <c r="D6" s="1578">
        <v>4000</v>
      </c>
      <c r="E6" s="1579"/>
      <c r="F6" s="797">
        <v>4000000</v>
      </c>
      <c r="G6" s="717"/>
      <c r="H6" s="1580">
        <f t="shared" si="0"/>
        <v>4000000</v>
      </c>
      <c r="I6" s="1581">
        <f t="shared" si="1"/>
        <v>1</v>
      </c>
    </row>
    <row r="7" spans="1:9" s="280" customFormat="1" ht="30" customHeight="1">
      <c r="A7" s="1573">
        <v>4</v>
      </c>
      <c r="B7" s="1576" t="s">
        <v>572</v>
      </c>
      <c r="C7" s="1577"/>
      <c r="D7" s="1578">
        <v>20000</v>
      </c>
      <c r="E7" s="1579">
        <v>20000000</v>
      </c>
      <c r="F7" s="797"/>
      <c r="G7" s="717"/>
      <c r="H7" s="1580">
        <f t="shared" si="0"/>
        <v>20000000</v>
      </c>
      <c r="I7" s="1581">
        <f t="shared" si="1"/>
        <v>1</v>
      </c>
    </row>
    <row r="8" spans="1:9" s="280" customFormat="1" ht="30" customHeight="1">
      <c r="A8" s="1575">
        <v>5</v>
      </c>
      <c r="B8" s="1576" t="s">
        <v>573</v>
      </c>
      <c r="C8" s="1577"/>
      <c r="D8" s="1578">
        <v>500</v>
      </c>
      <c r="E8" s="1579"/>
      <c r="F8" s="797">
        <v>500000</v>
      </c>
      <c r="G8" s="717"/>
      <c r="H8" s="1580">
        <f t="shared" si="0"/>
        <v>500000</v>
      </c>
      <c r="I8" s="1581">
        <f t="shared" si="1"/>
        <v>1</v>
      </c>
    </row>
    <row r="9" spans="1:9" s="280" customFormat="1" ht="30" customHeight="1">
      <c r="A9" s="1573">
        <v>6</v>
      </c>
      <c r="B9" s="1576" t="s">
        <v>323</v>
      </c>
      <c r="C9" s="1577"/>
      <c r="D9" s="1578">
        <v>6000</v>
      </c>
      <c r="E9" s="1579">
        <v>7000000</v>
      </c>
      <c r="F9" s="797"/>
      <c r="G9" s="717"/>
      <c r="H9" s="1580">
        <f t="shared" si="0"/>
        <v>7000000</v>
      </c>
      <c r="I9" s="1581">
        <f t="shared" si="1"/>
        <v>1.17</v>
      </c>
    </row>
    <row r="10" spans="1:9" s="280" customFormat="1" ht="30" customHeight="1">
      <c r="A10" s="1573">
        <v>7</v>
      </c>
      <c r="B10" s="1576" t="s">
        <v>910</v>
      </c>
      <c r="C10" s="1577"/>
      <c r="D10" s="1578">
        <v>3000</v>
      </c>
      <c r="E10" s="1579">
        <v>3000000</v>
      </c>
      <c r="F10" s="797"/>
      <c r="G10" s="717"/>
      <c r="H10" s="1580">
        <f t="shared" si="0"/>
        <v>3000000</v>
      </c>
      <c r="I10" s="1581">
        <f t="shared" si="1"/>
        <v>1</v>
      </c>
    </row>
    <row r="11" spans="1:9" s="280" customFormat="1" ht="30" customHeight="1">
      <c r="A11" s="1575">
        <v>8</v>
      </c>
      <c r="B11" s="1576" t="s">
        <v>244</v>
      </c>
      <c r="C11" s="1577">
        <v>5300</v>
      </c>
      <c r="D11" s="1582">
        <v>10000</v>
      </c>
      <c r="E11" s="1579"/>
      <c r="F11" s="797">
        <v>10000000</v>
      </c>
      <c r="G11" s="717"/>
      <c r="H11" s="1583">
        <f t="shared" si="0"/>
        <v>10000000</v>
      </c>
      <c r="I11" s="1581">
        <f t="shared" si="1"/>
        <v>1</v>
      </c>
    </row>
    <row r="12" spans="1:9" s="280" customFormat="1" ht="30" customHeight="1">
      <c r="A12" s="1573">
        <v>9</v>
      </c>
      <c r="B12" s="1576" t="s">
        <v>297</v>
      </c>
      <c r="C12" s="1577">
        <v>12000</v>
      </c>
      <c r="D12" s="1582">
        <v>67977</v>
      </c>
      <c r="E12" s="1579">
        <v>47506238</v>
      </c>
      <c r="F12" s="797"/>
      <c r="G12" s="717"/>
      <c r="H12" s="1583">
        <f t="shared" si="0"/>
        <v>47506238</v>
      </c>
      <c r="I12" s="1581">
        <f t="shared" si="1"/>
        <v>0.7</v>
      </c>
    </row>
    <row r="13" spans="1:9" s="280" customFormat="1" ht="30" customHeight="1">
      <c r="A13" s="1573">
        <v>10</v>
      </c>
      <c r="B13" s="1576" t="s">
        <v>1140</v>
      </c>
      <c r="C13" s="1577"/>
      <c r="D13" s="1582"/>
      <c r="E13" s="1579">
        <v>18700</v>
      </c>
      <c r="F13" s="797"/>
      <c r="G13" s="717"/>
      <c r="H13" s="1583">
        <f t="shared" si="0"/>
        <v>18700</v>
      </c>
      <c r="I13" s="1581"/>
    </row>
    <row r="14" spans="1:9" s="280" customFormat="1" ht="30" customHeight="1">
      <c r="A14" s="1575">
        <v>11</v>
      </c>
      <c r="B14" s="1576" t="s">
        <v>298</v>
      </c>
      <c r="C14" s="1577"/>
      <c r="D14" s="1582"/>
      <c r="E14" s="1579">
        <v>12000000</v>
      </c>
      <c r="F14" s="797"/>
      <c r="G14" s="717"/>
      <c r="H14" s="1583">
        <f t="shared" si="0"/>
        <v>12000000</v>
      </c>
      <c r="I14" s="1581"/>
    </row>
    <row r="15" spans="1:9" s="280" customFormat="1" ht="30" customHeight="1">
      <c r="A15" s="1573">
        <v>12</v>
      </c>
      <c r="B15" s="1576" t="s">
        <v>1141</v>
      </c>
      <c r="C15" s="1577"/>
      <c r="D15" s="1582">
        <v>7000</v>
      </c>
      <c r="E15" s="1579">
        <v>7000000</v>
      </c>
      <c r="F15" s="797"/>
      <c r="G15" s="717"/>
      <c r="H15" s="1583">
        <f t="shared" si="0"/>
        <v>7000000</v>
      </c>
      <c r="I15" s="1581">
        <f t="shared" si="1"/>
        <v>1</v>
      </c>
    </row>
    <row r="16" spans="1:9" s="280" customFormat="1" ht="30" customHeight="1">
      <c r="A16" s="1573">
        <v>13</v>
      </c>
      <c r="B16" s="1576" t="s">
        <v>915</v>
      </c>
      <c r="C16" s="1577"/>
      <c r="D16" s="1582">
        <v>8176</v>
      </c>
      <c r="E16" s="1579"/>
      <c r="F16" s="797"/>
      <c r="G16" s="717"/>
      <c r="H16" s="1583">
        <f t="shared" si="0"/>
        <v>0</v>
      </c>
      <c r="I16" s="1581">
        <f t="shared" si="1"/>
        <v>0</v>
      </c>
    </row>
    <row r="17" spans="1:9" s="280" customFormat="1" ht="30" customHeight="1">
      <c r="A17" s="1575">
        <v>14</v>
      </c>
      <c r="B17" s="1576" t="s">
        <v>1011</v>
      </c>
      <c r="C17" s="1577"/>
      <c r="D17" s="1582">
        <v>5042</v>
      </c>
      <c r="E17" s="1579"/>
      <c r="F17" s="797"/>
      <c r="G17" s="717"/>
      <c r="H17" s="1583">
        <f t="shared" si="0"/>
        <v>0</v>
      </c>
      <c r="I17" s="1581">
        <f t="shared" si="1"/>
        <v>0</v>
      </c>
    </row>
    <row r="18" spans="1:9" s="280" customFormat="1" ht="30" customHeight="1">
      <c r="A18" s="1573">
        <v>15</v>
      </c>
      <c r="B18" s="1576" t="s">
        <v>911</v>
      </c>
      <c r="C18" s="1577"/>
      <c r="D18" s="1582">
        <v>3386</v>
      </c>
      <c r="E18" s="1579"/>
      <c r="F18" s="797"/>
      <c r="G18" s="717"/>
      <c r="H18" s="1583">
        <f t="shared" si="0"/>
        <v>0</v>
      </c>
      <c r="I18" s="1581">
        <f t="shared" si="1"/>
        <v>0</v>
      </c>
    </row>
    <row r="19" spans="1:9" s="280" customFormat="1" ht="30" customHeight="1">
      <c r="A19" s="1573">
        <v>16</v>
      </c>
      <c r="B19" s="1576" t="s">
        <v>437</v>
      </c>
      <c r="C19" s="1577">
        <v>500</v>
      </c>
      <c r="D19" s="1582">
        <v>5000</v>
      </c>
      <c r="E19" s="1579"/>
      <c r="F19" s="797">
        <v>3000000</v>
      </c>
      <c r="G19" s="717"/>
      <c r="H19" s="1583">
        <f t="shared" si="0"/>
        <v>3000000</v>
      </c>
      <c r="I19" s="1581">
        <f t="shared" si="1"/>
        <v>0.6</v>
      </c>
    </row>
    <row r="20" spans="1:9" s="280" customFormat="1" ht="30" customHeight="1">
      <c r="A20" s="1575">
        <v>17</v>
      </c>
      <c r="B20" s="1576" t="s">
        <v>908</v>
      </c>
      <c r="C20" s="1577"/>
      <c r="D20" s="1582">
        <v>10000</v>
      </c>
      <c r="E20" s="1579"/>
      <c r="F20" s="797"/>
      <c r="G20" s="717"/>
      <c r="H20" s="1583">
        <f t="shared" si="0"/>
        <v>0</v>
      </c>
      <c r="I20" s="1581">
        <f t="shared" si="1"/>
        <v>0</v>
      </c>
    </row>
    <row r="21" spans="1:9" s="280" customFormat="1" ht="30" customHeight="1">
      <c r="A21" s="1573">
        <v>18</v>
      </c>
      <c r="B21" s="1576" t="s">
        <v>909</v>
      </c>
      <c r="C21" s="1577"/>
      <c r="D21" s="1582">
        <v>5000</v>
      </c>
      <c r="E21" s="1579"/>
      <c r="F21" s="797"/>
      <c r="G21" s="717"/>
      <c r="H21" s="1583">
        <f t="shared" si="0"/>
        <v>0</v>
      </c>
      <c r="I21" s="1581">
        <f t="shared" si="1"/>
        <v>0</v>
      </c>
    </row>
    <row r="22" spans="1:9" s="280" customFormat="1" ht="30" customHeight="1">
      <c r="A22" s="1573">
        <v>19</v>
      </c>
      <c r="B22" s="732" t="s">
        <v>296</v>
      </c>
      <c r="C22" s="1577"/>
      <c r="D22" s="1582">
        <v>5000</v>
      </c>
      <c r="E22" s="1579"/>
      <c r="F22" s="797"/>
      <c r="G22" s="717"/>
      <c r="H22" s="1583">
        <f t="shared" si="0"/>
        <v>0</v>
      </c>
      <c r="I22" s="1581">
        <f t="shared" si="1"/>
        <v>0</v>
      </c>
    </row>
    <row r="23" spans="1:9" s="280" customFormat="1" ht="30" customHeight="1">
      <c r="A23" s="1575">
        <v>20</v>
      </c>
      <c r="B23" s="1584" t="s">
        <v>381</v>
      </c>
      <c r="C23" s="1577"/>
      <c r="D23" s="1582">
        <v>7000</v>
      </c>
      <c r="E23" s="1579"/>
      <c r="F23" s="797">
        <v>7000000</v>
      </c>
      <c r="G23" s="717"/>
      <c r="H23" s="1583">
        <f t="shared" si="0"/>
        <v>7000000</v>
      </c>
      <c r="I23" s="1581">
        <f t="shared" si="1"/>
        <v>1</v>
      </c>
    </row>
    <row r="24" spans="1:9" s="280" customFormat="1" ht="30" customHeight="1">
      <c r="A24" s="1573">
        <v>21</v>
      </c>
      <c r="B24" s="1576" t="s">
        <v>245</v>
      </c>
      <c r="C24" s="1577">
        <v>9200</v>
      </c>
      <c r="D24" s="1582">
        <v>3000</v>
      </c>
      <c r="E24" s="1579"/>
      <c r="F24" s="797">
        <v>3000000</v>
      </c>
      <c r="G24" s="717"/>
      <c r="H24" s="1583">
        <f t="shared" si="0"/>
        <v>3000000</v>
      </c>
      <c r="I24" s="1581">
        <f t="shared" si="1"/>
        <v>1</v>
      </c>
    </row>
    <row r="25" spans="1:9" s="280" customFormat="1" ht="30" customHeight="1">
      <c r="A25" s="1573">
        <v>22</v>
      </c>
      <c r="B25" s="1576" t="s">
        <v>574</v>
      </c>
      <c r="C25" s="1577"/>
      <c r="D25" s="1582">
        <v>1400</v>
      </c>
      <c r="E25" s="1579">
        <v>1400000</v>
      </c>
      <c r="F25" s="797"/>
      <c r="G25" s="717"/>
      <c r="H25" s="1583">
        <f t="shared" si="0"/>
        <v>1400000</v>
      </c>
      <c r="I25" s="1581">
        <f t="shared" si="1"/>
        <v>1</v>
      </c>
    </row>
    <row r="26" spans="1:9" s="280" customFormat="1" ht="30" customHeight="1">
      <c r="A26" s="1575">
        <v>23</v>
      </c>
      <c r="B26" s="1576" t="s">
        <v>636</v>
      </c>
      <c r="C26" s="1577"/>
      <c r="D26" s="1582">
        <v>2000</v>
      </c>
      <c r="E26" s="1579">
        <v>2000000</v>
      </c>
      <c r="F26" s="797"/>
      <c r="G26" s="717"/>
      <c r="H26" s="1583">
        <f t="shared" si="0"/>
        <v>2000000</v>
      </c>
      <c r="I26" s="1581">
        <f t="shared" si="1"/>
        <v>1</v>
      </c>
    </row>
    <row r="27" spans="1:9" s="280" customFormat="1" ht="30" customHeight="1">
      <c r="A27" s="1573">
        <v>24</v>
      </c>
      <c r="B27" s="1576" t="s">
        <v>304</v>
      </c>
      <c r="C27" s="1577"/>
      <c r="D27" s="1582">
        <v>80000</v>
      </c>
      <c r="E27" s="1579">
        <v>70000000</v>
      </c>
      <c r="F27" s="797"/>
      <c r="G27" s="797"/>
      <c r="H27" s="1583">
        <f t="shared" si="0"/>
        <v>70000000</v>
      </c>
      <c r="I27" s="1581">
        <f t="shared" si="1"/>
        <v>0.88</v>
      </c>
    </row>
    <row r="28" spans="1:9" s="280" customFormat="1" ht="30" customHeight="1">
      <c r="A28" s="1585"/>
      <c r="B28" s="1586" t="s">
        <v>630</v>
      </c>
      <c r="C28" s="1587" t="e">
        <f>SUM(#REF!)</f>
        <v>#REF!</v>
      </c>
      <c r="D28" s="1588">
        <f>D29+D37</f>
        <v>119879</v>
      </c>
      <c r="E28" s="1589">
        <f>E29+E37</f>
        <v>65000000</v>
      </c>
      <c r="F28" s="1590">
        <f>F29+F37</f>
        <v>271810000</v>
      </c>
      <c r="G28" s="1590">
        <f>G29+G37</f>
        <v>0</v>
      </c>
      <c r="H28" s="1591">
        <f t="shared" si="0"/>
        <v>336810000</v>
      </c>
      <c r="I28" s="1592">
        <f t="shared" si="1"/>
        <v>2.81</v>
      </c>
    </row>
    <row r="29" spans="1:9" s="280" customFormat="1" ht="30" customHeight="1">
      <c r="A29" s="1585"/>
      <c r="B29" s="1586" t="s">
        <v>632</v>
      </c>
      <c r="C29" s="1587"/>
      <c r="D29" s="1588">
        <f>SUM(D30:D36)</f>
        <v>119879</v>
      </c>
      <c r="E29" s="1589">
        <f>SUM(E30:E36)</f>
        <v>65000000</v>
      </c>
      <c r="F29" s="1590">
        <f>SUM(F30:F36)</f>
        <v>271810000</v>
      </c>
      <c r="G29" s="1590">
        <f>SUM(G30:G36)</f>
        <v>0</v>
      </c>
      <c r="H29" s="1591">
        <f t="shared" si="0"/>
        <v>336810000</v>
      </c>
      <c r="I29" s="1592">
        <f t="shared" si="1"/>
        <v>2.81</v>
      </c>
    </row>
    <row r="30" spans="1:9" s="280" customFormat="1" ht="30" customHeight="1">
      <c r="A30" s="1573">
        <v>25</v>
      </c>
      <c r="B30" s="732" t="s">
        <v>575</v>
      </c>
      <c r="C30" s="1577"/>
      <c r="D30" s="1582">
        <v>2600</v>
      </c>
      <c r="E30" s="1579"/>
      <c r="F30" s="797"/>
      <c r="G30" s="797"/>
      <c r="H30" s="1583">
        <f t="shared" si="0"/>
        <v>0</v>
      </c>
      <c r="I30" s="1581">
        <f t="shared" si="1"/>
        <v>0</v>
      </c>
    </row>
    <row r="31" spans="1:9" s="280" customFormat="1" ht="30" customHeight="1">
      <c r="A31" s="1573">
        <v>26</v>
      </c>
      <c r="B31" s="1576" t="s">
        <v>343</v>
      </c>
      <c r="C31" s="1577"/>
      <c r="D31" s="1582">
        <v>15000</v>
      </c>
      <c r="E31" s="1579">
        <v>15000000</v>
      </c>
      <c r="F31" s="797"/>
      <c r="G31" s="797"/>
      <c r="H31" s="1583">
        <f t="shared" si="0"/>
        <v>15000000</v>
      </c>
      <c r="I31" s="1581">
        <f t="shared" si="1"/>
        <v>1</v>
      </c>
    </row>
    <row r="32" spans="1:9" s="280" customFormat="1" ht="30" customHeight="1">
      <c r="A32" s="1573">
        <v>27</v>
      </c>
      <c r="B32" s="732" t="s">
        <v>1276</v>
      </c>
      <c r="C32" s="1577"/>
      <c r="D32" s="1582"/>
      <c r="E32" s="1579">
        <v>50000000</v>
      </c>
      <c r="F32" s="797"/>
      <c r="G32" s="797"/>
      <c r="H32" s="1583">
        <f t="shared" si="0"/>
        <v>50000000</v>
      </c>
      <c r="I32" s="1581"/>
    </row>
    <row r="33" spans="1:9" s="280" customFormat="1" ht="47.25">
      <c r="A33" s="1573">
        <v>28</v>
      </c>
      <c r="B33" s="732" t="s">
        <v>1012</v>
      </c>
      <c r="C33" s="1577"/>
      <c r="D33" s="1582">
        <v>60000</v>
      </c>
      <c r="E33" s="1579"/>
      <c r="F33" s="797">
        <v>10000000</v>
      </c>
      <c r="G33" s="797"/>
      <c r="H33" s="1583">
        <f t="shared" si="0"/>
        <v>10000000</v>
      </c>
      <c r="I33" s="1581">
        <f t="shared" si="1"/>
        <v>0.17</v>
      </c>
    </row>
    <row r="34" spans="1:9" s="280" customFormat="1" ht="30" customHeight="1">
      <c r="A34" s="1573">
        <v>29</v>
      </c>
      <c r="B34" s="732" t="s">
        <v>907</v>
      </c>
      <c r="C34" s="1593"/>
      <c r="D34" s="1594">
        <v>40000</v>
      </c>
      <c r="E34" s="1595"/>
      <c r="F34" s="1538">
        <v>30000000</v>
      </c>
      <c r="G34" s="1596"/>
      <c r="H34" s="1597">
        <f t="shared" si="0"/>
        <v>30000000</v>
      </c>
      <c r="I34" s="1598">
        <f t="shared" si="1"/>
        <v>0.75</v>
      </c>
    </row>
    <row r="35" spans="1:9" s="280" customFormat="1" ht="30" customHeight="1">
      <c r="A35" s="1573">
        <v>30</v>
      </c>
      <c r="B35" s="732" t="s">
        <v>1139</v>
      </c>
      <c r="C35" s="1593"/>
      <c r="D35" s="1594"/>
      <c r="E35" s="1595"/>
      <c r="F35" s="1596">
        <v>231810000</v>
      </c>
      <c r="G35" s="1596"/>
      <c r="H35" s="1597">
        <f t="shared" si="0"/>
        <v>231810000</v>
      </c>
      <c r="I35" s="1598"/>
    </row>
    <row r="36" spans="1:9" s="280" customFormat="1" ht="30" customHeight="1">
      <c r="A36" s="1573">
        <v>31</v>
      </c>
      <c r="B36" s="732" t="s">
        <v>637</v>
      </c>
      <c r="C36" s="1593"/>
      <c r="D36" s="1594">
        <v>2279</v>
      </c>
      <c r="E36" s="1595"/>
      <c r="F36" s="1596"/>
      <c r="G36" s="1596"/>
      <c r="H36" s="1597">
        <f t="shared" si="0"/>
        <v>0</v>
      </c>
      <c r="I36" s="1598">
        <f t="shared" si="1"/>
        <v>0</v>
      </c>
    </row>
    <row r="37" spans="1:9" s="280" customFormat="1" ht="30" customHeight="1" thickBot="1">
      <c r="A37" s="1599"/>
      <c r="B37" s="1600" t="s">
        <v>1143</v>
      </c>
      <c r="C37" s="1601"/>
      <c r="D37" s="1602"/>
      <c r="E37" s="1603"/>
      <c r="F37" s="1604"/>
      <c r="G37" s="1604"/>
      <c r="H37" s="1605">
        <f t="shared" si="0"/>
        <v>0</v>
      </c>
      <c r="I37" s="1606"/>
    </row>
    <row r="38" spans="1:9" s="280" customFormat="1" ht="30" customHeight="1" thickBot="1">
      <c r="A38" s="1607"/>
      <c r="B38" s="1608" t="s">
        <v>766</v>
      </c>
      <c r="C38" s="1609">
        <v>10000</v>
      </c>
      <c r="D38" s="1610">
        <f>SUM(D39:D39)</f>
        <v>74548</v>
      </c>
      <c r="E38" s="1611">
        <f>SUM(E39:E39)</f>
        <v>103914743</v>
      </c>
      <c r="F38" s="1611">
        <f>SUM(F39:F39)</f>
        <v>0</v>
      </c>
      <c r="G38" s="1610">
        <f>SUM(G39:G39)</f>
        <v>0</v>
      </c>
      <c r="H38" s="1612">
        <f t="shared" si="0"/>
        <v>103914743</v>
      </c>
      <c r="I38" s="1613">
        <f t="shared" si="1"/>
        <v>1.39</v>
      </c>
    </row>
    <row r="39" spans="1:9" s="280" customFormat="1" ht="30" customHeight="1" thickBot="1">
      <c r="A39" s="1614">
        <v>32</v>
      </c>
      <c r="B39" s="1615" t="s">
        <v>627</v>
      </c>
      <c r="C39" s="1616"/>
      <c r="D39" s="1617">
        <v>74548</v>
      </c>
      <c r="E39" s="1618">
        <v>103914743</v>
      </c>
      <c r="F39" s="1539"/>
      <c r="G39" s="1619"/>
      <c r="H39" s="1620">
        <f t="shared" si="0"/>
        <v>103914743</v>
      </c>
      <c r="I39" s="1621">
        <f t="shared" si="1"/>
        <v>1.39</v>
      </c>
    </row>
    <row r="40" spans="1:9" s="280" customFormat="1" ht="29.25" customHeight="1" thickBot="1">
      <c r="A40" s="1087"/>
      <c r="B40" s="1088" t="s">
        <v>633</v>
      </c>
      <c r="C40" s="1089" t="e">
        <f>#REF!+#REF!+#REF!+C38</f>
        <v>#REF!</v>
      </c>
      <c r="D40" s="1090">
        <f>D3+D28+D38</f>
        <v>452408</v>
      </c>
      <c r="E40" s="1090">
        <f>E3+E28+E38</f>
        <v>338839681</v>
      </c>
      <c r="F40" s="1090">
        <f>F3+F28+F38</f>
        <v>304310000</v>
      </c>
      <c r="G40" s="1090">
        <f>G3+G28+G38</f>
        <v>0</v>
      </c>
      <c r="H40" s="1091">
        <f t="shared" si="0"/>
        <v>643149681</v>
      </c>
      <c r="I40" s="1092">
        <f t="shared" si="1"/>
        <v>1.42</v>
      </c>
    </row>
    <row r="41" spans="1:9" ht="32.25" customHeight="1" thickBot="1">
      <c r="A41" s="1858" t="s">
        <v>628</v>
      </c>
      <c r="B41" s="1858"/>
      <c r="C41" s="1858"/>
      <c r="D41" s="1858"/>
      <c r="E41" s="1858"/>
      <c r="F41" s="1858"/>
      <c r="G41" s="1858"/>
      <c r="H41" s="1858"/>
      <c r="I41" s="1858"/>
    </row>
    <row r="42" spans="1:9" s="280" customFormat="1" ht="30" customHeight="1">
      <c r="A42" s="1622"/>
      <c r="B42" s="1623" t="s">
        <v>629</v>
      </c>
      <c r="C42" s="1624" t="e">
        <f>#REF!+#REF!+#REF!</f>
        <v>#REF!</v>
      </c>
      <c r="D42" s="733">
        <f>D3</f>
        <v>257981</v>
      </c>
      <c r="E42" s="734">
        <f>E3</f>
        <v>169924938</v>
      </c>
      <c r="F42" s="735">
        <f>F3</f>
        <v>32500000</v>
      </c>
      <c r="G42" s="735">
        <f>G3</f>
        <v>0</v>
      </c>
      <c r="H42" s="1629">
        <f>SUM(E42:G42)</f>
        <v>202424938</v>
      </c>
      <c r="I42" s="1630">
        <f>H42/(D42*1000)</f>
        <v>0.78</v>
      </c>
    </row>
    <row r="43" spans="1:9" s="280" customFormat="1" ht="30" customHeight="1" thickBot="1">
      <c r="A43" s="1640"/>
      <c r="B43" s="1641" t="s">
        <v>630</v>
      </c>
      <c r="C43" s="1642" t="e">
        <f>#REF!+#REF!+C28</f>
        <v>#REF!</v>
      </c>
      <c r="D43" s="1643">
        <f>D28</f>
        <v>119879</v>
      </c>
      <c r="E43" s="1644">
        <f>E28</f>
        <v>65000000</v>
      </c>
      <c r="F43" s="1645">
        <f>F28</f>
        <v>271810000</v>
      </c>
      <c r="G43" s="1645">
        <f>G28</f>
        <v>0</v>
      </c>
      <c r="H43" s="1629">
        <f>SUM(E43:G43)</f>
        <v>336810000</v>
      </c>
      <c r="I43" s="1646">
        <f>H43/(D43*1000)</f>
        <v>2.81</v>
      </c>
    </row>
    <row r="44" spans="1:9" s="280" customFormat="1" ht="30" customHeight="1" thickBot="1">
      <c r="A44" s="97"/>
      <c r="B44" s="736" t="s">
        <v>756</v>
      </c>
      <c r="C44" s="1647" t="e">
        <f>SUM(C42:C43)</f>
        <v>#REF!</v>
      </c>
      <c r="D44" s="1648">
        <f>SUM(D42:D43)</f>
        <v>377860</v>
      </c>
      <c r="E44" s="1649">
        <f>SUM(E42:E43)</f>
        <v>234924938</v>
      </c>
      <c r="F44" s="1650">
        <f>SUM(F42:F43)</f>
        <v>304310000</v>
      </c>
      <c r="G44" s="1650">
        <f>SUM(G42:G43)</f>
        <v>0</v>
      </c>
      <c r="H44" s="1650">
        <f>SUM(E44:G44)</f>
        <v>539234938</v>
      </c>
      <c r="I44" s="1631">
        <f>H44/(D44*1000)</f>
        <v>1.43</v>
      </c>
    </row>
    <row r="45" spans="1:9" s="280" customFormat="1" ht="30" customHeight="1" thickBot="1">
      <c r="A45" s="1625"/>
      <c r="B45" s="1626" t="s">
        <v>766</v>
      </c>
      <c r="C45" s="1627">
        <v>10000</v>
      </c>
      <c r="D45" s="1632">
        <f>D38</f>
        <v>74548</v>
      </c>
      <c r="E45" s="1633">
        <f>+E39</f>
        <v>103914743</v>
      </c>
      <c r="F45" s="1634">
        <f>F38</f>
        <v>0</v>
      </c>
      <c r="G45" s="1634">
        <f>G38</f>
        <v>0</v>
      </c>
      <c r="H45" s="1635">
        <f>SUM(E45:G45)</f>
        <v>103914743</v>
      </c>
      <c r="I45" s="1636">
        <f>H45/(D45*1000)</f>
        <v>1.39</v>
      </c>
    </row>
    <row r="46" spans="1:9" s="280" customFormat="1" ht="30" customHeight="1" thickBot="1">
      <c r="A46" s="1628"/>
      <c r="B46" s="1610" t="s">
        <v>631</v>
      </c>
      <c r="C46" s="1609" t="e">
        <f>SUM(C44:C45)</f>
        <v>#REF!</v>
      </c>
      <c r="D46" s="1637">
        <f>SUM(D44:D45)</f>
        <v>452408</v>
      </c>
      <c r="E46" s="1638">
        <f>SUM(E44:E45)</f>
        <v>338839681</v>
      </c>
      <c r="F46" s="1639">
        <f>SUM(F44:F45)</f>
        <v>304310000</v>
      </c>
      <c r="G46" s="1639">
        <f>SUM(G44:G45)</f>
        <v>0</v>
      </c>
      <c r="H46" s="1639">
        <f>SUM(E46:G46)</f>
        <v>643149681</v>
      </c>
      <c r="I46" s="1631">
        <f>H46/(D46*1000)</f>
        <v>1.42</v>
      </c>
    </row>
  </sheetData>
  <sheetProtection/>
  <mergeCells count="4">
    <mergeCell ref="A41:I41"/>
    <mergeCell ref="E1:H1"/>
    <mergeCell ref="D1:D2"/>
    <mergeCell ref="I1:I2"/>
  </mergeCells>
  <printOptions gridLines="1" horizontalCentered="1"/>
  <pageMargins left="0.5905511811023623" right="0.5905511811023623" top="0.9055118110236221" bottom="0.7874015748031497" header="0.31496062992125984" footer="0.5118110236220472"/>
  <pageSetup fitToHeight="1" fitToWidth="1" orientation="portrait" paperSize="9" scale="50" r:id="rId1"/>
  <headerFooter alignWithMargins="0">
    <oddHeader>&amp;L
       &amp;C&amp;"Times New Roman,Normál"
PESTERZSÉBET ÖNKORMÁNYZATÁNAK 2017. ÉVI
CÉLTARTALÉKAI ÉS ÁLTALÁNOS TARTALÉKA&amp;R&amp;"Times New Roman,Normál"2.5. sz. melléklet</oddHeader>
    <oddFooter>&amp;C&amp;"Times New Roman,Normál"
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4">
      <selection activeCell="A1" sqref="A1:A2"/>
    </sheetView>
  </sheetViews>
  <sheetFormatPr defaultColWidth="9.140625" defaultRowHeight="12.75"/>
  <cols>
    <col min="1" max="1" width="55.00390625" style="851" bestFit="1" customWidth="1"/>
    <col min="2" max="2" width="14.57421875" style="851" customWidth="1"/>
    <col min="3" max="3" width="16.57421875" style="851" bestFit="1" customWidth="1"/>
    <col min="4" max="4" width="16.421875" style="851" customWidth="1"/>
    <col min="5" max="5" width="17.57421875" style="851" customWidth="1"/>
    <col min="6" max="6" width="17.28125" style="851" customWidth="1"/>
    <col min="7" max="7" width="13.421875" style="851" customWidth="1"/>
    <col min="8" max="16384" width="9.140625" style="851" customWidth="1"/>
  </cols>
  <sheetData>
    <row r="1" spans="1:7" s="744" customFormat="1" ht="15.75" customHeight="1">
      <c r="A1" s="1866" t="s">
        <v>344</v>
      </c>
      <c r="B1" s="1854" t="s">
        <v>1054</v>
      </c>
      <c r="C1" s="1851" t="s">
        <v>1050</v>
      </c>
      <c r="D1" s="1852"/>
      <c r="E1" s="1852"/>
      <c r="F1" s="1853"/>
      <c r="G1" s="1848" t="s">
        <v>1051</v>
      </c>
    </row>
    <row r="2" spans="1:7" s="744" customFormat="1" ht="48" thickBot="1">
      <c r="A2" s="1867"/>
      <c r="B2" s="1855"/>
      <c r="C2" s="1136" t="s">
        <v>287</v>
      </c>
      <c r="D2" s="1136" t="s">
        <v>795</v>
      </c>
      <c r="E2" s="1136" t="s">
        <v>796</v>
      </c>
      <c r="F2" s="1136" t="s">
        <v>65</v>
      </c>
      <c r="G2" s="1849"/>
    </row>
    <row r="3" spans="1:7" s="744" customFormat="1" ht="30" customHeight="1">
      <c r="A3" s="832" t="s">
        <v>929</v>
      </c>
      <c r="B3" s="741">
        <v>30640</v>
      </c>
      <c r="C3" s="741">
        <v>26065000</v>
      </c>
      <c r="D3" s="740"/>
      <c r="E3" s="741"/>
      <c r="F3" s="833">
        <f aca="true" t="shared" si="0" ref="F3:F18">SUM(C3:E3)</f>
        <v>26065000</v>
      </c>
      <c r="G3" s="742">
        <f>F3/(B3*1000)</f>
        <v>0.85</v>
      </c>
    </row>
    <row r="4" spans="1:7" s="744" customFormat="1" ht="30" customHeight="1">
      <c r="A4" s="832" t="s">
        <v>930</v>
      </c>
      <c r="B4" s="741">
        <v>2000</v>
      </c>
      <c r="C4" s="741">
        <v>4000000</v>
      </c>
      <c r="D4" s="740"/>
      <c r="E4" s="741"/>
      <c r="F4" s="833">
        <f t="shared" si="0"/>
        <v>4000000</v>
      </c>
      <c r="G4" s="742">
        <f aca="true" t="shared" si="1" ref="G4:G21">F4/(B4*1000)</f>
        <v>2</v>
      </c>
    </row>
    <row r="5" spans="1:7" s="744" customFormat="1" ht="30" customHeight="1">
      <c r="A5" s="832" t="s">
        <v>1277</v>
      </c>
      <c r="B5" s="741">
        <v>7000</v>
      </c>
      <c r="C5" s="741">
        <v>9500000</v>
      </c>
      <c r="D5" s="740"/>
      <c r="E5" s="741"/>
      <c r="F5" s="833">
        <f t="shared" si="0"/>
        <v>9500000</v>
      </c>
      <c r="G5" s="742">
        <f t="shared" si="1"/>
        <v>1.36</v>
      </c>
    </row>
    <row r="6" spans="1:7" s="1731" customFormat="1" ht="30" customHeight="1">
      <c r="A6" s="834" t="s">
        <v>798</v>
      </c>
      <c r="B6" s="835">
        <f>SUM(B3:B5)</f>
        <v>39640</v>
      </c>
      <c r="C6" s="835">
        <f>SUM(C3:C5)</f>
        <v>39565000</v>
      </c>
      <c r="D6" s="835">
        <f>SUM(D3:D5)</f>
        <v>0</v>
      </c>
      <c r="E6" s="835">
        <f>SUM(E3:E5)</f>
        <v>0</v>
      </c>
      <c r="F6" s="836">
        <f t="shared" si="0"/>
        <v>39565000</v>
      </c>
      <c r="G6" s="837">
        <f t="shared" si="1"/>
        <v>1</v>
      </c>
    </row>
    <row r="7" spans="1:7" s="744" customFormat="1" ht="30" customHeight="1">
      <c r="A7" s="852" t="s">
        <v>933</v>
      </c>
      <c r="B7" s="740">
        <v>5000</v>
      </c>
      <c r="C7" s="839"/>
      <c r="D7" s="740">
        <v>5000000</v>
      </c>
      <c r="E7" s="839"/>
      <c r="F7" s="840">
        <f t="shared" si="0"/>
        <v>5000000</v>
      </c>
      <c r="G7" s="742">
        <f aca="true" t="shared" si="2" ref="G7:G12">F7/(B7*1000)</f>
        <v>1</v>
      </c>
    </row>
    <row r="8" spans="1:7" s="744" customFormat="1" ht="30" customHeight="1">
      <c r="A8" s="832" t="s">
        <v>1058</v>
      </c>
      <c r="B8" s="741">
        <v>1000</v>
      </c>
      <c r="C8" s="741"/>
      <c r="D8" s="740">
        <v>1000000</v>
      </c>
      <c r="E8" s="741"/>
      <c r="F8" s="838">
        <f t="shared" si="0"/>
        <v>1000000</v>
      </c>
      <c r="G8" s="742">
        <f t="shared" si="2"/>
        <v>1</v>
      </c>
    </row>
    <row r="9" spans="1:7" s="744" customFormat="1" ht="30" customHeight="1">
      <c r="A9" s="852" t="s">
        <v>931</v>
      </c>
      <c r="B9" s="740">
        <v>1500</v>
      </c>
      <c r="C9" s="839"/>
      <c r="D9" s="740">
        <v>1500000</v>
      </c>
      <c r="E9" s="839"/>
      <c r="F9" s="840">
        <f t="shared" si="0"/>
        <v>1500000</v>
      </c>
      <c r="G9" s="742">
        <f t="shared" si="2"/>
        <v>1</v>
      </c>
    </row>
    <row r="10" spans="1:7" s="744" customFormat="1" ht="30" customHeight="1">
      <c r="A10" s="852" t="s">
        <v>932</v>
      </c>
      <c r="B10" s="740">
        <v>32000</v>
      </c>
      <c r="C10" s="839"/>
      <c r="D10" s="740">
        <v>29000000</v>
      </c>
      <c r="E10" s="839"/>
      <c r="F10" s="840">
        <f t="shared" si="0"/>
        <v>29000000</v>
      </c>
      <c r="G10" s="742">
        <f t="shared" si="2"/>
        <v>0.91</v>
      </c>
    </row>
    <row r="11" spans="1:7" s="744" customFormat="1" ht="30" customHeight="1">
      <c r="A11" s="852" t="s">
        <v>934</v>
      </c>
      <c r="B11" s="740">
        <v>10000</v>
      </c>
      <c r="C11" s="839"/>
      <c r="D11" s="740">
        <v>8000000</v>
      </c>
      <c r="E11" s="839"/>
      <c r="F11" s="840">
        <f t="shared" si="0"/>
        <v>8000000</v>
      </c>
      <c r="G11" s="742">
        <f t="shared" si="2"/>
        <v>0.8</v>
      </c>
    </row>
    <row r="12" spans="1:7" s="744" customFormat="1" ht="30" customHeight="1">
      <c r="A12" s="832" t="s">
        <v>1057</v>
      </c>
      <c r="B12" s="741">
        <v>4000</v>
      </c>
      <c r="C12" s="741"/>
      <c r="D12" s="741">
        <v>4000000</v>
      </c>
      <c r="E12" s="741"/>
      <c r="F12" s="997">
        <f t="shared" si="0"/>
        <v>4000000</v>
      </c>
      <c r="G12" s="742">
        <f t="shared" si="2"/>
        <v>1</v>
      </c>
    </row>
    <row r="13" spans="1:7" s="744" customFormat="1" ht="30" customHeight="1">
      <c r="A13" s="832" t="s">
        <v>1060</v>
      </c>
      <c r="B13" s="741"/>
      <c r="C13" s="741"/>
      <c r="D13" s="741">
        <v>3000000</v>
      </c>
      <c r="E13" s="741"/>
      <c r="F13" s="997">
        <f t="shared" si="0"/>
        <v>3000000</v>
      </c>
      <c r="G13" s="742"/>
    </row>
    <row r="14" spans="1:7" s="744" customFormat="1" ht="30" customHeight="1">
      <c r="A14" s="832" t="s">
        <v>1056</v>
      </c>
      <c r="B14" s="741">
        <v>4000</v>
      </c>
      <c r="C14" s="741"/>
      <c r="D14" s="741">
        <v>3400000</v>
      </c>
      <c r="E14" s="741"/>
      <c r="F14" s="997">
        <f t="shared" si="0"/>
        <v>3400000</v>
      </c>
      <c r="G14" s="742">
        <f t="shared" si="1"/>
        <v>0.85</v>
      </c>
    </row>
    <row r="15" spans="1:7" s="744" customFormat="1" ht="30" customHeight="1">
      <c r="A15" s="852" t="s">
        <v>1059</v>
      </c>
      <c r="B15" s="1123"/>
      <c r="C15" s="1124"/>
      <c r="D15" s="1123">
        <v>2000000</v>
      </c>
      <c r="E15" s="1124"/>
      <c r="F15" s="1125">
        <f t="shared" si="0"/>
        <v>2000000</v>
      </c>
      <c r="G15" s="1126"/>
    </row>
    <row r="16" spans="1:7" s="744" customFormat="1" ht="30" customHeight="1" thickBot="1">
      <c r="A16" s="841" t="s">
        <v>797</v>
      </c>
      <c r="B16" s="842">
        <f>SUM(B7:B15)</f>
        <v>57500</v>
      </c>
      <c r="C16" s="842">
        <f>SUM(C7:C15)</f>
        <v>0</v>
      </c>
      <c r="D16" s="842">
        <f>SUM(D7:D15)</f>
        <v>56900000</v>
      </c>
      <c r="E16" s="842">
        <f>SUM(E7:E15)</f>
        <v>0</v>
      </c>
      <c r="F16" s="843">
        <f t="shared" si="0"/>
        <v>56900000</v>
      </c>
      <c r="G16" s="844">
        <f t="shared" si="1"/>
        <v>0.99</v>
      </c>
    </row>
    <row r="17" spans="1:7" s="744" customFormat="1" ht="30" customHeight="1" thickBot="1">
      <c r="A17" s="845" t="s">
        <v>799</v>
      </c>
      <c r="B17" s="846">
        <f>B6+B16</f>
        <v>97140</v>
      </c>
      <c r="C17" s="846">
        <f>C6+C16</f>
        <v>39565000</v>
      </c>
      <c r="D17" s="846">
        <f>D6+D16</f>
        <v>56900000</v>
      </c>
      <c r="E17" s="846">
        <f>E6+E16</f>
        <v>0</v>
      </c>
      <c r="F17" s="847">
        <f t="shared" si="0"/>
        <v>96465000</v>
      </c>
      <c r="G17" s="890">
        <f t="shared" si="1"/>
        <v>0.99</v>
      </c>
    </row>
    <row r="18" spans="1:7" ht="30" customHeight="1">
      <c r="A18" s="832" t="s">
        <v>935</v>
      </c>
      <c r="B18" s="741">
        <v>1000</v>
      </c>
      <c r="C18" s="741">
        <v>1000000</v>
      </c>
      <c r="D18" s="740"/>
      <c r="E18" s="741"/>
      <c r="F18" s="833">
        <f t="shared" si="0"/>
        <v>1000000</v>
      </c>
      <c r="G18" s="742">
        <f t="shared" si="1"/>
        <v>1</v>
      </c>
    </row>
    <row r="19" spans="1:7" ht="30" customHeight="1">
      <c r="A19" s="832" t="s">
        <v>1278</v>
      </c>
      <c r="B19" s="741">
        <v>3150</v>
      </c>
      <c r="C19" s="741"/>
      <c r="D19" s="740">
        <v>4725000</v>
      </c>
      <c r="E19" s="741"/>
      <c r="F19" s="833">
        <f>SUM(C19:E19)</f>
        <v>4725000</v>
      </c>
      <c r="G19" s="742">
        <f t="shared" si="1"/>
        <v>1.5</v>
      </c>
    </row>
    <row r="20" spans="1:7" ht="30" customHeight="1" thickBot="1">
      <c r="A20" s="848" t="s">
        <v>730</v>
      </c>
      <c r="B20" s="849">
        <f>SUM(B18:B19)</f>
        <v>4150</v>
      </c>
      <c r="C20" s="849">
        <f>SUM(C18:C19)</f>
        <v>1000000</v>
      </c>
      <c r="D20" s="849">
        <f>SUM(D18:D19)</f>
        <v>4725000</v>
      </c>
      <c r="E20" s="849">
        <f>SUM(E18:E19)</f>
        <v>0</v>
      </c>
      <c r="F20" s="850">
        <f>SUM(C20:E20)</f>
        <v>5725000</v>
      </c>
      <c r="G20" s="891">
        <f t="shared" si="1"/>
        <v>1.38</v>
      </c>
    </row>
    <row r="21" spans="1:7" ht="30" customHeight="1" thickBot="1">
      <c r="A21" s="845" t="s">
        <v>391</v>
      </c>
      <c r="B21" s="846">
        <f>B17+B20</f>
        <v>101290</v>
      </c>
      <c r="C21" s="846">
        <f>C17+C20</f>
        <v>40565000</v>
      </c>
      <c r="D21" s="846">
        <f>D17+D20</f>
        <v>61625000</v>
      </c>
      <c r="E21" s="846">
        <f>E17+E20</f>
        <v>0</v>
      </c>
      <c r="F21" s="847">
        <f>SUM(C21:E21)</f>
        <v>102190000</v>
      </c>
      <c r="G21" s="890">
        <f t="shared" si="1"/>
        <v>1.01</v>
      </c>
    </row>
  </sheetData>
  <sheetProtection/>
  <mergeCells count="4">
    <mergeCell ref="A1:A2"/>
    <mergeCell ref="G1:G2"/>
    <mergeCell ref="C1:F1"/>
    <mergeCell ref="B1:B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&amp;CPESTERZSÉBET ÖNKORMÁNYZATA ÁLTAL FOLYÓSÍTOTT PÉNZBEN ÉS TERMÉSZETBEN NYÚJTOTT SZOCIÁLIS ELLÁTÁSOK 
2017. ÉV&amp;R2.6. sz. melléklet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39">
    <pageSetUpPr fitToPage="1"/>
  </sheetPr>
  <dimension ref="A1:H84"/>
  <sheetViews>
    <sheetView zoomScale="80" zoomScaleNormal="80" zoomScalePageLayoutView="0" workbookViewId="0" topLeftCell="A1">
      <pane ySplit="2" topLeftCell="A81" activePane="bottomLeft" state="frozen"/>
      <selection pane="topLeft" activeCell="A5" sqref="A5"/>
      <selection pane="bottomLeft" activeCell="B68" sqref="B68"/>
    </sheetView>
  </sheetViews>
  <sheetFormatPr defaultColWidth="9.140625" defaultRowHeight="12.75"/>
  <cols>
    <col min="1" max="1" width="9.140625" style="1107" customWidth="1"/>
    <col min="2" max="2" width="69.57421875" style="1107" bestFit="1" customWidth="1"/>
    <col min="3" max="3" width="15.28125" style="1107" customWidth="1"/>
    <col min="4" max="4" width="17.140625" style="1107" bestFit="1" customWidth="1"/>
    <col min="5" max="5" width="15.00390625" style="1107" customWidth="1"/>
    <col min="6" max="6" width="17.7109375" style="1107" bestFit="1" customWidth="1"/>
    <col min="7" max="7" width="16.28125" style="1107" bestFit="1" customWidth="1"/>
    <col min="8" max="8" width="17.8515625" style="1107" bestFit="1" customWidth="1"/>
    <col min="9" max="10" width="9.140625" style="1107" customWidth="1"/>
    <col min="11" max="11" width="14.28125" style="1107" bestFit="1" customWidth="1"/>
    <col min="12" max="16384" width="9.140625" style="1107" customWidth="1"/>
  </cols>
  <sheetData>
    <row r="1" spans="1:8" ht="15.75" customHeight="1">
      <c r="A1" s="1868" t="s">
        <v>523</v>
      </c>
      <c r="B1" s="1870" t="s">
        <v>522</v>
      </c>
      <c r="C1" s="1854" t="s">
        <v>1054</v>
      </c>
      <c r="D1" s="1851" t="s">
        <v>1050</v>
      </c>
      <c r="E1" s="1852"/>
      <c r="F1" s="1852"/>
      <c r="G1" s="1853"/>
      <c r="H1" s="1848" t="s">
        <v>1051</v>
      </c>
    </row>
    <row r="2" spans="1:8" ht="54.75" customHeight="1" thickBot="1">
      <c r="A2" s="1869"/>
      <c r="B2" s="1871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8" ht="31.5" customHeight="1" thickBot="1">
      <c r="A3" s="1041" t="s">
        <v>213</v>
      </c>
      <c r="B3" s="1042" t="s">
        <v>214</v>
      </c>
      <c r="C3" s="1027">
        <f>SUM(C4:C4)</f>
        <v>7900</v>
      </c>
      <c r="D3" s="1027">
        <f>SUM(D4:D4)</f>
        <v>3000000</v>
      </c>
      <c r="E3" s="1027">
        <f>SUM(E4:E4)</f>
        <v>0</v>
      </c>
      <c r="F3" s="1027">
        <f>SUM(F4:F4)</f>
        <v>0</v>
      </c>
      <c r="G3" s="1027">
        <f aca="true" t="shared" si="0" ref="G3:G84">SUM(D3:F3)</f>
        <v>3000000</v>
      </c>
      <c r="H3" s="1348">
        <f aca="true" t="shared" si="1" ref="H3:H9">G3/(C3*1000)</f>
        <v>0.38</v>
      </c>
    </row>
    <row r="4" spans="1:8" ht="31.5" customHeight="1" thickBot="1">
      <c r="A4" s="1349" t="s">
        <v>207</v>
      </c>
      <c r="B4" s="1101" t="s">
        <v>859</v>
      </c>
      <c r="C4" s="797">
        <v>7900</v>
      </c>
      <c r="D4" s="797">
        <v>3000000</v>
      </c>
      <c r="E4" s="797"/>
      <c r="F4" s="797"/>
      <c r="G4" s="797">
        <f t="shared" si="0"/>
        <v>3000000</v>
      </c>
      <c r="H4" s="1345">
        <f t="shared" si="1"/>
        <v>0.38</v>
      </c>
    </row>
    <row r="5" spans="1:8" ht="31.5" customHeight="1" thickBot="1">
      <c r="A5" s="1041" t="s">
        <v>215</v>
      </c>
      <c r="B5" s="1042" t="s">
        <v>590</v>
      </c>
      <c r="C5" s="1027">
        <f>+C6+C21+C39+C58</f>
        <v>578372</v>
      </c>
      <c r="D5" s="1027">
        <f>+D6+D21+D39+D58</f>
        <v>1738507970</v>
      </c>
      <c r="E5" s="1027">
        <f>+E6+E21+E39+E58</f>
        <v>0</v>
      </c>
      <c r="F5" s="1027">
        <f>+F6+F21+F39+F58</f>
        <v>0</v>
      </c>
      <c r="G5" s="1027">
        <f t="shared" si="0"/>
        <v>1738507970</v>
      </c>
      <c r="H5" s="1348">
        <f t="shared" si="1"/>
        <v>3.01</v>
      </c>
    </row>
    <row r="6" spans="1:8" s="1351" customFormat="1" ht="31.5" customHeight="1">
      <c r="A6" s="1350"/>
      <c r="B6" s="1102" t="s">
        <v>955</v>
      </c>
      <c r="C6" s="1344">
        <f>SUM(C7:C20)</f>
        <v>56000</v>
      </c>
      <c r="D6" s="1344">
        <f>SUM(D7:D20)</f>
        <v>687929880</v>
      </c>
      <c r="E6" s="1344">
        <f>SUM(E7:E20)</f>
        <v>0</v>
      </c>
      <c r="F6" s="1344">
        <f>SUM(F7:F20)</f>
        <v>0</v>
      </c>
      <c r="G6" s="1344">
        <f t="shared" si="0"/>
        <v>687929880</v>
      </c>
      <c r="H6" s="1347">
        <f t="shared" si="1"/>
        <v>12.28</v>
      </c>
    </row>
    <row r="7" spans="1:8" ht="31.5" customHeight="1">
      <c r="A7" s="1352" t="s">
        <v>207</v>
      </c>
      <c r="B7" s="1103" t="s">
        <v>1025</v>
      </c>
      <c r="C7" s="797">
        <v>3000</v>
      </c>
      <c r="D7" s="797">
        <v>2000000</v>
      </c>
      <c r="E7" s="797"/>
      <c r="F7" s="797"/>
      <c r="G7" s="797">
        <f t="shared" si="0"/>
        <v>2000000</v>
      </c>
      <c r="H7" s="1345">
        <f t="shared" si="1"/>
        <v>0.67</v>
      </c>
    </row>
    <row r="8" spans="1:8" ht="31.5" customHeight="1">
      <c r="A8" s="1352" t="s">
        <v>828</v>
      </c>
      <c r="B8" s="1103" t="s">
        <v>950</v>
      </c>
      <c r="C8" s="797">
        <v>5000</v>
      </c>
      <c r="D8" s="797">
        <v>2000000</v>
      </c>
      <c r="E8" s="797"/>
      <c r="F8" s="797"/>
      <c r="G8" s="797">
        <f t="shared" si="0"/>
        <v>2000000</v>
      </c>
      <c r="H8" s="1345">
        <f t="shared" si="1"/>
        <v>0.4</v>
      </c>
    </row>
    <row r="9" spans="1:8" ht="31.5" customHeight="1">
      <c r="A9" s="1352" t="s">
        <v>830</v>
      </c>
      <c r="B9" s="1103" t="s">
        <v>977</v>
      </c>
      <c r="C9" s="797">
        <v>5000</v>
      </c>
      <c r="D9" s="797">
        <v>4000000</v>
      </c>
      <c r="E9" s="797"/>
      <c r="F9" s="797"/>
      <c r="G9" s="797">
        <f t="shared" si="0"/>
        <v>4000000</v>
      </c>
      <c r="H9" s="1345">
        <f t="shared" si="1"/>
        <v>0.8</v>
      </c>
    </row>
    <row r="10" spans="1:8" ht="31.5" customHeight="1">
      <c r="A10" s="1352" t="s">
        <v>520</v>
      </c>
      <c r="B10" s="1103" t="s">
        <v>1157</v>
      </c>
      <c r="C10" s="797"/>
      <c r="D10" s="797">
        <v>1092780</v>
      </c>
      <c r="E10" s="797"/>
      <c r="F10" s="797"/>
      <c r="G10" s="797">
        <f t="shared" si="0"/>
        <v>1092780</v>
      </c>
      <c r="H10" s="1345"/>
    </row>
    <row r="11" spans="1:8" ht="31.5" customHeight="1">
      <c r="A11" s="1352" t="s">
        <v>442</v>
      </c>
      <c r="B11" s="1339" t="s">
        <v>1283</v>
      </c>
      <c r="C11" s="797"/>
      <c r="D11" s="797">
        <v>337100</v>
      </c>
      <c r="E11" s="797"/>
      <c r="F11" s="797"/>
      <c r="G11" s="797">
        <f t="shared" si="0"/>
        <v>337100</v>
      </c>
      <c r="H11" s="1345"/>
    </row>
    <row r="12" spans="1:8" ht="31.5" customHeight="1">
      <c r="A12" s="1352" t="s">
        <v>831</v>
      </c>
      <c r="B12" s="1103" t="s">
        <v>978</v>
      </c>
      <c r="C12" s="797">
        <v>5000</v>
      </c>
      <c r="D12" s="797">
        <v>4000000</v>
      </c>
      <c r="E12" s="797"/>
      <c r="F12" s="797"/>
      <c r="G12" s="797">
        <f t="shared" si="0"/>
        <v>4000000</v>
      </c>
      <c r="H12" s="1345">
        <f>G12/(C12*1000)</f>
        <v>0.8</v>
      </c>
    </row>
    <row r="13" spans="1:8" ht="31.5" customHeight="1">
      <c r="A13" s="1352" t="s">
        <v>833</v>
      </c>
      <c r="B13" s="1103" t="s">
        <v>979</v>
      </c>
      <c r="C13" s="797">
        <v>5000</v>
      </c>
      <c r="D13" s="797">
        <v>4000000</v>
      </c>
      <c r="E13" s="797"/>
      <c r="F13" s="797"/>
      <c r="G13" s="797">
        <f t="shared" si="0"/>
        <v>4000000</v>
      </c>
      <c r="H13" s="1345">
        <f>G13/(C13*1000)</f>
        <v>0.8</v>
      </c>
    </row>
    <row r="14" spans="1:8" ht="31.5" customHeight="1">
      <c r="A14" s="1352" t="s">
        <v>835</v>
      </c>
      <c r="B14" s="1103" t="s">
        <v>980</v>
      </c>
      <c r="C14" s="797">
        <v>3000</v>
      </c>
      <c r="D14" s="797">
        <v>2000000</v>
      </c>
      <c r="E14" s="797"/>
      <c r="F14" s="797"/>
      <c r="G14" s="797">
        <f t="shared" si="0"/>
        <v>2000000</v>
      </c>
      <c r="H14" s="1345">
        <f>G14/(C14*1000)</f>
        <v>0.67</v>
      </c>
    </row>
    <row r="15" spans="1:8" ht="31.5" customHeight="1">
      <c r="A15" s="1352" t="s">
        <v>836</v>
      </c>
      <c r="B15" s="1103" t="s">
        <v>986</v>
      </c>
      <c r="C15" s="797">
        <v>30000</v>
      </c>
      <c r="D15" s="797">
        <v>5000000</v>
      </c>
      <c r="E15" s="797"/>
      <c r="F15" s="797"/>
      <c r="G15" s="797">
        <f t="shared" si="0"/>
        <v>5000000</v>
      </c>
      <c r="H15" s="1345">
        <f>G15/(C15*1000)</f>
        <v>0.17</v>
      </c>
    </row>
    <row r="16" spans="1:8" ht="57" customHeight="1">
      <c r="A16" s="1352" t="s">
        <v>837</v>
      </c>
      <c r="B16" s="1103" t="s">
        <v>1284</v>
      </c>
      <c r="C16" s="797"/>
      <c r="D16" s="797">
        <v>5000000</v>
      </c>
      <c r="E16" s="797"/>
      <c r="F16" s="797"/>
      <c r="G16" s="797">
        <f t="shared" si="0"/>
        <v>5000000</v>
      </c>
      <c r="H16" s="1345"/>
    </row>
    <row r="17" spans="1:8" ht="31.5">
      <c r="A17" s="1352" t="s">
        <v>838</v>
      </c>
      <c r="B17" s="1103" t="s">
        <v>1279</v>
      </c>
      <c r="C17" s="797"/>
      <c r="D17" s="797">
        <v>67500000</v>
      </c>
      <c r="E17" s="797"/>
      <c r="F17" s="797"/>
      <c r="G17" s="797">
        <f t="shared" si="0"/>
        <v>67500000</v>
      </c>
      <c r="H17" s="1345"/>
    </row>
    <row r="18" spans="1:8" ht="31.5">
      <c r="A18" s="1352" t="s">
        <v>839</v>
      </c>
      <c r="B18" s="1103" t="s">
        <v>1159</v>
      </c>
      <c r="C18" s="797"/>
      <c r="D18" s="797">
        <v>561000000</v>
      </c>
      <c r="E18" s="797"/>
      <c r="F18" s="797"/>
      <c r="G18" s="797">
        <f t="shared" si="0"/>
        <v>561000000</v>
      </c>
      <c r="H18" s="1345"/>
    </row>
    <row r="19" spans="1:8" ht="31.5" customHeight="1">
      <c r="A19" s="1352" t="s">
        <v>840</v>
      </c>
      <c r="B19" s="1103" t="s">
        <v>1158</v>
      </c>
      <c r="C19" s="797"/>
      <c r="D19" s="797">
        <v>5000000</v>
      </c>
      <c r="E19" s="797"/>
      <c r="F19" s="797"/>
      <c r="G19" s="797">
        <f t="shared" si="0"/>
        <v>5000000</v>
      </c>
      <c r="H19" s="1345"/>
    </row>
    <row r="20" spans="1:8" ht="47.25">
      <c r="A20" s="1352" t="s">
        <v>841</v>
      </c>
      <c r="B20" s="1339" t="s">
        <v>1148</v>
      </c>
      <c r="C20" s="797"/>
      <c r="D20" s="797">
        <v>25000000</v>
      </c>
      <c r="E20" s="797"/>
      <c r="F20" s="797"/>
      <c r="G20" s="797">
        <f t="shared" si="0"/>
        <v>25000000</v>
      </c>
      <c r="H20" s="1345"/>
    </row>
    <row r="21" spans="1:8" s="1354" customFormat="1" ht="31.5" customHeight="1">
      <c r="A21" s="1352"/>
      <c r="B21" s="1104" t="s">
        <v>956</v>
      </c>
      <c r="C21" s="1344">
        <f>SUM(C22:C38)</f>
        <v>243503</v>
      </c>
      <c r="D21" s="1344">
        <f>SUM(D22:D38)</f>
        <v>101000000</v>
      </c>
      <c r="E21" s="1344">
        <f>SUM(E22:E38)</f>
        <v>0</v>
      </c>
      <c r="F21" s="1344">
        <f>SUM(F22:F38)</f>
        <v>0</v>
      </c>
      <c r="G21" s="1344">
        <f t="shared" si="0"/>
        <v>101000000</v>
      </c>
      <c r="H21" s="1347">
        <f>G21/(C21*1000)</f>
        <v>0.41</v>
      </c>
    </row>
    <row r="22" spans="1:8" ht="31.5" customHeight="1">
      <c r="A22" s="1352" t="s">
        <v>842</v>
      </c>
      <c r="B22" s="1103" t="s">
        <v>1285</v>
      </c>
      <c r="C22" s="797">
        <v>3000</v>
      </c>
      <c r="D22" s="797">
        <v>3000000</v>
      </c>
      <c r="E22" s="797"/>
      <c r="F22" s="797"/>
      <c r="G22" s="797">
        <f t="shared" si="0"/>
        <v>3000000</v>
      </c>
      <c r="H22" s="1345">
        <f>G22/(C22*1000)</f>
        <v>1</v>
      </c>
    </row>
    <row r="23" spans="1:8" ht="31.5" customHeight="1">
      <c r="A23" s="1352" t="s">
        <v>843</v>
      </c>
      <c r="B23" s="1103" t="s">
        <v>969</v>
      </c>
      <c r="C23" s="797">
        <v>55403</v>
      </c>
      <c r="D23" s="797"/>
      <c r="E23" s="797"/>
      <c r="F23" s="797"/>
      <c r="G23" s="797">
        <f t="shared" si="0"/>
        <v>0</v>
      </c>
      <c r="H23" s="1345"/>
    </row>
    <row r="24" spans="1:8" ht="31.5" customHeight="1">
      <c r="A24" s="1352" t="s">
        <v>844</v>
      </c>
      <c r="B24" s="1103" t="s">
        <v>970</v>
      </c>
      <c r="C24" s="797">
        <v>2000</v>
      </c>
      <c r="D24" s="797">
        <v>2000000</v>
      </c>
      <c r="E24" s="797"/>
      <c r="F24" s="797"/>
      <c r="G24" s="797">
        <f t="shared" si="0"/>
        <v>2000000</v>
      </c>
      <c r="H24" s="1345">
        <f>G24/(C24*1000)</f>
        <v>1</v>
      </c>
    </row>
    <row r="25" spans="1:8" ht="31.5" customHeight="1">
      <c r="A25" s="1352" t="s">
        <v>845</v>
      </c>
      <c r="B25" s="1103" t="s">
        <v>971</v>
      </c>
      <c r="C25" s="797">
        <v>17000</v>
      </c>
      <c r="D25" s="797"/>
      <c r="E25" s="797"/>
      <c r="F25" s="797"/>
      <c r="G25" s="797">
        <f t="shared" si="0"/>
        <v>0</v>
      </c>
      <c r="H25" s="1345"/>
    </row>
    <row r="26" spans="1:8" ht="31.5" customHeight="1">
      <c r="A26" s="1352" t="s">
        <v>846</v>
      </c>
      <c r="B26" s="1103" t="s">
        <v>972</v>
      </c>
      <c r="C26" s="797">
        <v>15000</v>
      </c>
      <c r="D26" s="797"/>
      <c r="E26" s="797"/>
      <c r="F26" s="797"/>
      <c r="G26" s="797">
        <f t="shared" si="0"/>
        <v>0</v>
      </c>
      <c r="H26" s="1345"/>
    </row>
    <row r="27" spans="1:8" ht="31.5" customHeight="1">
      <c r="A27" s="1352" t="s">
        <v>847</v>
      </c>
      <c r="B27" s="1103" t="s">
        <v>973</v>
      </c>
      <c r="C27" s="797">
        <v>3000</v>
      </c>
      <c r="D27" s="797"/>
      <c r="E27" s="797"/>
      <c r="F27" s="797"/>
      <c r="G27" s="797">
        <f t="shared" si="0"/>
        <v>0</v>
      </c>
      <c r="H27" s="1345"/>
    </row>
    <row r="28" spans="1:8" ht="31.5" customHeight="1">
      <c r="A28" s="1352" t="s">
        <v>848</v>
      </c>
      <c r="B28" s="1103" t="s">
        <v>974</v>
      </c>
      <c r="C28" s="797">
        <v>39000</v>
      </c>
      <c r="D28" s="797"/>
      <c r="E28" s="797"/>
      <c r="F28" s="797"/>
      <c r="G28" s="797">
        <f t="shared" si="0"/>
        <v>0</v>
      </c>
      <c r="H28" s="1345"/>
    </row>
    <row r="29" spans="1:8" ht="31.5" customHeight="1">
      <c r="A29" s="1352" t="s">
        <v>849</v>
      </c>
      <c r="B29" s="1103" t="s">
        <v>975</v>
      </c>
      <c r="C29" s="797">
        <v>2000</v>
      </c>
      <c r="D29" s="797"/>
      <c r="E29" s="797"/>
      <c r="F29" s="797"/>
      <c r="G29" s="797">
        <f t="shared" si="0"/>
        <v>0</v>
      </c>
      <c r="H29" s="1345"/>
    </row>
    <row r="30" spans="1:8" ht="31.5" customHeight="1">
      <c r="A30" s="1352" t="s">
        <v>850</v>
      </c>
      <c r="B30" s="1103" t="s">
        <v>976</v>
      </c>
      <c r="C30" s="797">
        <v>3500</v>
      </c>
      <c r="D30" s="797"/>
      <c r="E30" s="797"/>
      <c r="F30" s="797"/>
      <c r="G30" s="797">
        <f t="shared" si="0"/>
        <v>0</v>
      </c>
      <c r="H30" s="1345"/>
    </row>
    <row r="31" spans="1:8" ht="31.5" customHeight="1">
      <c r="A31" s="1352" t="s">
        <v>851</v>
      </c>
      <c r="B31" s="1103" t="s">
        <v>951</v>
      </c>
      <c r="C31" s="797">
        <v>1200</v>
      </c>
      <c r="D31" s="797"/>
      <c r="E31" s="797"/>
      <c r="F31" s="797"/>
      <c r="G31" s="797">
        <f t="shared" si="0"/>
        <v>0</v>
      </c>
      <c r="H31" s="1345"/>
    </row>
    <row r="32" spans="1:8" ht="31.5" customHeight="1">
      <c r="A32" s="1352" t="s">
        <v>852</v>
      </c>
      <c r="B32" s="1103" t="s">
        <v>952</v>
      </c>
      <c r="C32" s="797">
        <v>2400</v>
      </c>
      <c r="D32" s="797"/>
      <c r="E32" s="797"/>
      <c r="F32" s="797"/>
      <c r="G32" s="797">
        <f t="shared" si="0"/>
        <v>0</v>
      </c>
      <c r="H32" s="1345"/>
    </row>
    <row r="33" spans="1:8" ht="31.5" customHeight="1">
      <c r="A33" s="1352" t="s">
        <v>853</v>
      </c>
      <c r="B33" s="1103" t="s">
        <v>829</v>
      </c>
      <c r="C33" s="797">
        <v>100000</v>
      </c>
      <c r="D33" s="797"/>
      <c r="E33" s="797"/>
      <c r="F33" s="797"/>
      <c r="G33" s="797">
        <f t="shared" si="0"/>
        <v>0</v>
      </c>
      <c r="H33" s="1345"/>
    </row>
    <row r="34" spans="1:8" ht="31.5" customHeight="1">
      <c r="A34" s="1352" t="s">
        <v>854</v>
      </c>
      <c r="B34" s="1339" t="s">
        <v>1149</v>
      </c>
      <c r="C34" s="797"/>
      <c r="D34" s="797">
        <v>5000000</v>
      </c>
      <c r="E34" s="797"/>
      <c r="F34" s="797"/>
      <c r="G34" s="797">
        <f t="shared" si="0"/>
        <v>5000000</v>
      </c>
      <c r="H34" s="1345"/>
    </row>
    <row r="35" spans="1:8" ht="31.5" customHeight="1">
      <c r="A35" s="1352" t="s">
        <v>855</v>
      </c>
      <c r="B35" s="1339" t="s">
        <v>1150</v>
      </c>
      <c r="C35" s="797"/>
      <c r="D35" s="797">
        <v>10000000</v>
      </c>
      <c r="E35" s="797"/>
      <c r="F35" s="797"/>
      <c r="G35" s="797">
        <f t="shared" si="0"/>
        <v>10000000</v>
      </c>
      <c r="H35" s="1345"/>
    </row>
    <row r="36" spans="1:8" ht="31.5" customHeight="1">
      <c r="A36" s="1352" t="s">
        <v>856</v>
      </c>
      <c r="B36" s="1339" t="s">
        <v>1151</v>
      </c>
      <c r="C36" s="797"/>
      <c r="D36" s="797">
        <v>10000000</v>
      </c>
      <c r="E36" s="797"/>
      <c r="F36" s="797"/>
      <c r="G36" s="797">
        <f t="shared" si="0"/>
        <v>10000000</v>
      </c>
      <c r="H36" s="1345"/>
    </row>
    <row r="37" spans="1:8" ht="31.5" customHeight="1">
      <c r="A37" s="1352" t="s">
        <v>857</v>
      </c>
      <c r="B37" s="1339" t="s">
        <v>1184</v>
      </c>
      <c r="C37" s="797"/>
      <c r="D37" s="797">
        <v>70000000</v>
      </c>
      <c r="E37" s="797"/>
      <c r="F37" s="797"/>
      <c r="G37" s="797">
        <f t="shared" si="0"/>
        <v>70000000</v>
      </c>
      <c r="H37" s="1345"/>
    </row>
    <row r="38" spans="1:8" ht="31.5" customHeight="1">
      <c r="A38" s="1352" t="s">
        <v>858</v>
      </c>
      <c r="B38" s="1103" t="s">
        <v>1152</v>
      </c>
      <c r="C38" s="797"/>
      <c r="D38" s="797">
        <v>1000000</v>
      </c>
      <c r="E38" s="797"/>
      <c r="F38" s="797"/>
      <c r="G38" s="797">
        <f t="shared" si="0"/>
        <v>1000000</v>
      </c>
      <c r="H38" s="1345"/>
    </row>
    <row r="39" spans="1:8" s="1354" customFormat="1" ht="31.5" customHeight="1">
      <c r="A39" s="1353"/>
      <c r="B39" s="1104" t="s">
        <v>957</v>
      </c>
      <c r="C39" s="1344">
        <f>SUM(C40:C57)</f>
        <v>259910</v>
      </c>
      <c r="D39" s="1344">
        <f>SUM(D40:D57)</f>
        <v>162176515</v>
      </c>
      <c r="E39" s="1344">
        <f>SUM(E40:E57)</f>
        <v>0</v>
      </c>
      <c r="F39" s="1344">
        <f>SUM(F40:F57)</f>
        <v>0</v>
      </c>
      <c r="G39" s="1344">
        <f t="shared" si="0"/>
        <v>162176515</v>
      </c>
      <c r="H39" s="1347">
        <f>G39/(C39*1000)</f>
        <v>0.62</v>
      </c>
    </row>
    <row r="40" spans="1:8" ht="31.5" customHeight="1">
      <c r="A40" s="1352" t="s">
        <v>860</v>
      </c>
      <c r="B40" s="1103" t="s">
        <v>1018</v>
      </c>
      <c r="C40" s="797">
        <v>8685</v>
      </c>
      <c r="D40" s="797"/>
      <c r="E40" s="1355"/>
      <c r="F40" s="1355"/>
      <c r="G40" s="717">
        <f t="shared" si="0"/>
        <v>0</v>
      </c>
      <c r="H40" s="1345"/>
    </row>
    <row r="41" spans="1:8" ht="31.5" customHeight="1">
      <c r="A41" s="1352" t="s">
        <v>861</v>
      </c>
      <c r="B41" s="1103" t="s">
        <v>981</v>
      </c>
      <c r="C41" s="797">
        <v>5000</v>
      </c>
      <c r="D41" s="797"/>
      <c r="E41" s="797"/>
      <c r="F41" s="797"/>
      <c r="G41" s="797">
        <f t="shared" si="0"/>
        <v>0</v>
      </c>
      <c r="H41" s="1345"/>
    </row>
    <row r="42" spans="1:8" ht="31.5" customHeight="1">
      <c r="A42" s="1352" t="s">
        <v>863</v>
      </c>
      <c r="B42" s="1103" t="s">
        <v>1019</v>
      </c>
      <c r="C42" s="797">
        <v>10000</v>
      </c>
      <c r="D42" s="797"/>
      <c r="E42" s="797"/>
      <c r="F42" s="797"/>
      <c r="G42" s="797">
        <f t="shared" si="0"/>
        <v>0</v>
      </c>
      <c r="H42" s="1345"/>
    </row>
    <row r="43" spans="1:8" ht="31.5" customHeight="1">
      <c r="A43" s="1352" t="s">
        <v>864</v>
      </c>
      <c r="B43" s="1103" t="s">
        <v>1030</v>
      </c>
      <c r="C43" s="797">
        <v>3700</v>
      </c>
      <c r="D43" s="797"/>
      <c r="E43" s="797"/>
      <c r="F43" s="797"/>
      <c r="G43" s="797">
        <f t="shared" si="0"/>
        <v>0</v>
      </c>
      <c r="H43" s="1345"/>
    </row>
    <row r="44" spans="1:8" ht="31.5" customHeight="1">
      <c r="A44" s="1352" t="s">
        <v>865</v>
      </c>
      <c r="B44" s="1103" t="s">
        <v>1020</v>
      </c>
      <c r="C44" s="797">
        <v>30000</v>
      </c>
      <c r="D44" s="797"/>
      <c r="E44" s="797"/>
      <c r="F44" s="797"/>
      <c r="G44" s="797">
        <f t="shared" si="0"/>
        <v>0</v>
      </c>
      <c r="H44" s="1345"/>
    </row>
    <row r="45" spans="1:8" ht="31.5" customHeight="1">
      <c r="A45" s="1352" t="s">
        <v>866</v>
      </c>
      <c r="B45" s="1103" t="s">
        <v>1021</v>
      </c>
      <c r="C45" s="797">
        <v>90000</v>
      </c>
      <c r="D45" s="797"/>
      <c r="E45" s="797"/>
      <c r="F45" s="797"/>
      <c r="G45" s="797">
        <f t="shared" si="0"/>
        <v>0</v>
      </c>
      <c r="H45" s="1345"/>
    </row>
    <row r="46" spans="1:8" ht="31.5" customHeight="1">
      <c r="A46" s="1352" t="s">
        <v>867</v>
      </c>
      <c r="B46" s="1103" t="s">
        <v>1026</v>
      </c>
      <c r="C46" s="797">
        <v>5000</v>
      </c>
      <c r="D46" s="797"/>
      <c r="E46" s="797"/>
      <c r="F46" s="797"/>
      <c r="G46" s="797">
        <f t="shared" si="0"/>
        <v>0</v>
      </c>
      <c r="H46" s="1345"/>
    </row>
    <row r="47" spans="1:8" ht="31.5" customHeight="1">
      <c r="A47" s="1352" t="s">
        <v>868</v>
      </c>
      <c r="B47" s="1103" t="s">
        <v>1022</v>
      </c>
      <c r="C47" s="797">
        <v>3400</v>
      </c>
      <c r="D47" s="797"/>
      <c r="E47" s="797"/>
      <c r="F47" s="797"/>
      <c r="G47" s="797">
        <f t="shared" si="0"/>
        <v>0</v>
      </c>
      <c r="H47" s="1345"/>
    </row>
    <row r="48" spans="1:8" ht="31.5" customHeight="1">
      <c r="A48" s="1352" t="s">
        <v>869</v>
      </c>
      <c r="B48" s="1103" t="s">
        <v>1154</v>
      </c>
      <c r="C48" s="797"/>
      <c r="D48" s="797">
        <v>3400000</v>
      </c>
      <c r="E48" s="797"/>
      <c r="F48" s="797"/>
      <c r="G48" s="797">
        <f t="shared" si="0"/>
        <v>3400000</v>
      </c>
      <c r="H48" s="1345"/>
    </row>
    <row r="49" spans="1:8" ht="31.5" customHeight="1">
      <c r="A49" s="1352" t="s">
        <v>870</v>
      </c>
      <c r="B49" s="1103" t="s">
        <v>1027</v>
      </c>
      <c r="C49" s="797">
        <v>25000</v>
      </c>
      <c r="D49" s="797">
        <v>20000000</v>
      </c>
      <c r="E49" s="797"/>
      <c r="F49" s="797"/>
      <c r="G49" s="797">
        <f t="shared" si="0"/>
        <v>20000000</v>
      </c>
      <c r="H49" s="1345">
        <f>G49/(C49*1000)</f>
        <v>0.8</v>
      </c>
    </row>
    <row r="50" spans="1:8" ht="31.5" customHeight="1">
      <c r="A50" s="1352" t="s">
        <v>958</v>
      </c>
      <c r="B50" s="1103" t="s">
        <v>1028</v>
      </c>
      <c r="C50" s="797">
        <v>50000</v>
      </c>
      <c r="D50" s="797">
        <v>90000000</v>
      </c>
      <c r="E50" s="797"/>
      <c r="F50" s="797"/>
      <c r="G50" s="797">
        <f t="shared" si="0"/>
        <v>90000000</v>
      </c>
      <c r="H50" s="1345">
        <f>G50/(C50*1000)</f>
        <v>1.8</v>
      </c>
    </row>
    <row r="51" spans="1:8" ht="31.5" customHeight="1">
      <c r="A51" s="1352" t="s">
        <v>959</v>
      </c>
      <c r="B51" s="1340" t="s">
        <v>1153</v>
      </c>
      <c r="C51" s="797"/>
      <c r="D51" s="797">
        <v>28000000</v>
      </c>
      <c r="E51" s="797"/>
      <c r="F51" s="797"/>
      <c r="G51" s="797">
        <f t="shared" si="0"/>
        <v>28000000</v>
      </c>
      <c r="H51" s="1345"/>
    </row>
    <row r="52" spans="1:8" ht="31.5" customHeight="1">
      <c r="A52" s="1352" t="s">
        <v>960</v>
      </c>
      <c r="B52" s="1103" t="s">
        <v>982</v>
      </c>
      <c r="C52" s="797">
        <v>12000</v>
      </c>
      <c r="D52" s="797"/>
      <c r="E52" s="797"/>
      <c r="F52" s="797"/>
      <c r="G52" s="797">
        <f t="shared" si="0"/>
        <v>0</v>
      </c>
      <c r="H52" s="1345"/>
    </row>
    <row r="53" spans="1:8" ht="31.5" customHeight="1">
      <c r="A53" s="1352" t="s">
        <v>961</v>
      </c>
      <c r="B53" s="1103" t="s">
        <v>983</v>
      </c>
      <c r="C53" s="797">
        <v>7500</v>
      </c>
      <c r="D53" s="797">
        <v>7500000</v>
      </c>
      <c r="E53" s="797"/>
      <c r="F53" s="797"/>
      <c r="G53" s="797">
        <f t="shared" si="0"/>
        <v>7500000</v>
      </c>
      <c r="H53" s="1345">
        <f>G53/(C53*1000)</f>
        <v>1</v>
      </c>
    </row>
    <row r="54" spans="1:8" ht="31.5" customHeight="1">
      <c r="A54" s="1352" t="s">
        <v>962</v>
      </c>
      <c r="B54" s="1103" t="s">
        <v>984</v>
      </c>
      <c r="C54" s="797">
        <v>8800</v>
      </c>
      <c r="D54" s="797">
        <v>8800000</v>
      </c>
      <c r="E54" s="797"/>
      <c r="F54" s="797"/>
      <c r="G54" s="797">
        <f t="shared" si="0"/>
        <v>8800000</v>
      </c>
      <c r="H54" s="1345">
        <f>G54/(C54*1000)</f>
        <v>1</v>
      </c>
    </row>
    <row r="55" spans="1:8" ht="31.5" customHeight="1">
      <c r="A55" s="1352" t="s">
        <v>963</v>
      </c>
      <c r="B55" s="1339" t="s">
        <v>1282</v>
      </c>
      <c r="C55" s="797"/>
      <c r="D55" s="797">
        <v>1936515</v>
      </c>
      <c r="E55" s="797"/>
      <c r="F55" s="797"/>
      <c r="G55" s="797">
        <f t="shared" si="0"/>
        <v>1936515</v>
      </c>
      <c r="H55" s="1345"/>
    </row>
    <row r="56" spans="1:8" ht="31.5" customHeight="1">
      <c r="A56" s="1352" t="s">
        <v>964</v>
      </c>
      <c r="B56" s="1258" t="s">
        <v>1185</v>
      </c>
      <c r="C56" s="797"/>
      <c r="D56" s="797">
        <v>2540000</v>
      </c>
      <c r="E56" s="797"/>
      <c r="F56" s="797"/>
      <c r="G56" s="797">
        <f t="shared" si="0"/>
        <v>2540000</v>
      </c>
      <c r="H56" s="1345"/>
    </row>
    <row r="57" spans="1:8" ht="31.5" customHeight="1">
      <c r="A57" s="1352" t="s">
        <v>965</v>
      </c>
      <c r="B57" s="1103" t="s">
        <v>1029</v>
      </c>
      <c r="C57" s="797">
        <v>825</v>
      </c>
      <c r="D57" s="797"/>
      <c r="E57" s="797"/>
      <c r="F57" s="797"/>
      <c r="G57" s="797">
        <f t="shared" si="0"/>
        <v>0</v>
      </c>
      <c r="H57" s="1345"/>
    </row>
    <row r="58" spans="1:8" s="1354" customFormat="1" ht="31.5" customHeight="1">
      <c r="A58" s="1353"/>
      <c r="B58" s="1104" t="s">
        <v>1155</v>
      </c>
      <c r="C58" s="1344">
        <f>SUM(C59:C61)</f>
        <v>18959</v>
      </c>
      <c r="D58" s="1344">
        <f>SUM(D59:D61)</f>
        <v>787401575</v>
      </c>
      <c r="E58" s="1344">
        <f>SUM(E59:E61)</f>
        <v>0</v>
      </c>
      <c r="F58" s="1344">
        <f>SUM(F59:F61)</f>
        <v>0</v>
      </c>
      <c r="G58" s="1344">
        <f t="shared" si="0"/>
        <v>787401575</v>
      </c>
      <c r="H58" s="1347">
        <f>G58/(C58*1000)</f>
        <v>41.53</v>
      </c>
    </row>
    <row r="59" spans="1:8" ht="31.5" customHeight="1">
      <c r="A59" s="1352" t="s">
        <v>966</v>
      </c>
      <c r="B59" s="1339" t="s">
        <v>1156</v>
      </c>
      <c r="C59" s="797"/>
      <c r="D59" s="797">
        <v>787401575</v>
      </c>
      <c r="E59" s="797"/>
      <c r="F59" s="797"/>
      <c r="G59" s="797">
        <f t="shared" si="0"/>
        <v>787401575</v>
      </c>
      <c r="H59" s="1173"/>
    </row>
    <row r="60" spans="1:8" ht="47.25">
      <c r="A60" s="1352" t="s">
        <v>967</v>
      </c>
      <c r="B60" s="1103" t="s">
        <v>953</v>
      </c>
      <c r="C60" s="797">
        <v>258</v>
      </c>
      <c r="D60" s="797"/>
      <c r="E60" s="797"/>
      <c r="F60" s="797"/>
      <c r="G60" s="797">
        <f t="shared" si="0"/>
        <v>0</v>
      </c>
      <c r="H60" s="1345"/>
    </row>
    <row r="61" spans="1:8" ht="32.25" thickBot="1">
      <c r="A61" s="1352" t="s">
        <v>968</v>
      </c>
      <c r="B61" s="1105" t="s">
        <v>954</v>
      </c>
      <c r="C61" s="797">
        <v>18701</v>
      </c>
      <c r="D61" s="797"/>
      <c r="E61" s="797"/>
      <c r="F61" s="797"/>
      <c r="G61" s="797">
        <f t="shared" si="0"/>
        <v>0</v>
      </c>
      <c r="H61" s="1345"/>
    </row>
    <row r="62" spans="1:8" ht="31.5" customHeight="1" thickBot="1">
      <c r="A62" s="1041" t="s">
        <v>534</v>
      </c>
      <c r="B62" s="1042" t="s">
        <v>535</v>
      </c>
      <c r="C62" s="1356">
        <f>SUM(C63:C67)</f>
        <v>22700</v>
      </c>
      <c r="D62" s="1356">
        <f>SUM(D63:D67)</f>
        <v>38082677</v>
      </c>
      <c r="E62" s="1356">
        <f>SUM(E63:E67)</f>
        <v>0</v>
      </c>
      <c r="F62" s="1356">
        <f>SUM(F63:F67)</f>
        <v>0</v>
      </c>
      <c r="G62" s="1356">
        <f t="shared" si="0"/>
        <v>38082677</v>
      </c>
      <c r="H62" s="1357">
        <f>G62/(C62*1000)</f>
        <v>1.68</v>
      </c>
    </row>
    <row r="63" spans="1:8" ht="31.5" customHeight="1">
      <c r="A63" s="1349" t="s">
        <v>207</v>
      </c>
      <c r="B63" s="1106" t="s">
        <v>985</v>
      </c>
      <c r="C63" s="797">
        <v>20000</v>
      </c>
      <c r="D63" s="797">
        <v>30000000</v>
      </c>
      <c r="E63" s="797"/>
      <c r="F63" s="797"/>
      <c r="G63" s="797">
        <f t="shared" si="0"/>
        <v>30000000</v>
      </c>
      <c r="H63" s="1345">
        <f>G63/(C63*1000)</f>
        <v>1.5</v>
      </c>
    </row>
    <row r="64" spans="1:8" ht="31.5" customHeight="1">
      <c r="A64" s="1358" t="s">
        <v>828</v>
      </c>
      <c r="B64" s="1105" t="s">
        <v>1023</v>
      </c>
      <c r="C64" s="797">
        <v>2700</v>
      </c>
      <c r="D64" s="797"/>
      <c r="E64" s="797"/>
      <c r="F64" s="797"/>
      <c r="G64" s="797">
        <f t="shared" si="0"/>
        <v>0</v>
      </c>
      <c r="H64" s="1345"/>
    </row>
    <row r="65" spans="1:8" ht="31.5" customHeight="1">
      <c r="A65" s="1349" t="s">
        <v>830</v>
      </c>
      <c r="B65" s="1105" t="s">
        <v>1163</v>
      </c>
      <c r="C65" s="797"/>
      <c r="D65" s="797">
        <v>1082677</v>
      </c>
      <c r="E65" s="797"/>
      <c r="F65" s="797"/>
      <c r="G65" s="797">
        <f t="shared" si="0"/>
        <v>1082677</v>
      </c>
      <c r="H65" s="1363"/>
    </row>
    <row r="66" spans="1:8" ht="31.5" customHeight="1">
      <c r="A66" s="1358" t="s">
        <v>520</v>
      </c>
      <c r="B66" s="1105" t="s">
        <v>1145</v>
      </c>
      <c r="C66" s="797"/>
      <c r="D66" s="797">
        <v>3000000</v>
      </c>
      <c r="E66" s="797"/>
      <c r="F66" s="797"/>
      <c r="G66" s="797">
        <f t="shared" si="0"/>
        <v>3000000</v>
      </c>
      <c r="H66" s="1359"/>
    </row>
    <row r="67" spans="1:8" ht="31.5" customHeight="1" thickBot="1">
      <c r="A67" s="1349" t="s">
        <v>442</v>
      </c>
      <c r="B67" s="1105" t="s">
        <v>1144</v>
      </c>
      <c r="C67" s="797"/>
      <c r="D67" s="797">
        <v>4000000</v>
      </c>
      <c r="E67" s="797"/>
      <c r="F67" s="797"/>
      <c r="G67" s="797">
        <f t="shared" si="0"/>
        <v>4000000</v>
      </c>
      <c r="H67" s="1359"/>
    </row>
    <row r="68" spans="1:8" ht="31.5" customHeight="1" thickBot="1">
      <c r="A68" s="1041" t="s">
        <v>536</v>
      </c>
      <c r="B68" s="1042" t="s">
        <v>537</v>
      </c>
      <c r="C68" s="1027">
        <f>SUM(C69:C70)</f>
        <v>0</v>
      </c>
      <c r="D68" s="1027">
        <f>SUM(D69:D77)</f>
        <v>17900000</v>
      </c>
      <c r="E68" s="1027">
        <f>SUM(E69:E77)</f>
        <v>15292000</v>
      </c>
      <c r="F68" s="1027">
        <f>SUM(F69:F77)</f>
        <v>0</v>
      </c>
      <c r="G68" s="1045">
        <f t="shared" si="0"/>
        <v>33192000</v>
      </c>
      <c r="H68" s="1357"/>
    </row>
    <row r="69" spans="1:8" ht="31.5" customHeight="1">
      <c r="A69" s="1349" t="s">
        <v>207</v>
      </c>
      <c r="B69" s="1105" t="s">
        <v>1146</v>
      </c>
      <c r="C69" s="797"/>
      <c r="D69" s="797">
        <v>10500000</v>
      </c>
      <c r="E69" s="797"/>
      <c r="F69" s="797"/>
      <c r="G69" s="797">
        <f t="shared" si="0"/>
        <v>10500000</v>
      </c>
      <c r="H69" s="1360"/>
    </row>
    <row r="70" spans="1:8" ht="31.5" customHeight="1">
      <c r="A70" s="1358" t="s">
        <v>828</v>
      </c>
      <c r="B70" s="1105" t="s">
        <v>1147</v>
      </c>
      <c r="C70" s="797"/>
      <c r="D70" s="797">
        <v>3000000</v>
      </c>
      <c r="E70" s="797"/>
      <c r="F70" s="797"/>
      <c r="G70" s="797">
        <f t="shared" si="0"/>
        <v>3000000</v>
      </c>
      <c r="H70" s="1346"/>
    </row>
    <row r="71" spans="1:8" ht="31.5" customHeight="1">
      <c r="A71" s="1349" t="s">
        <v>830</v>
      </c>
      <c r="B71" s="1341" t="s">
        <v>1178</v>
      </c>
      <c r="C71" s="797"/>
      <c r="D71" s="797"/>
      <c r="E71" s="797">
        <v>62000</v>
      </c>
      <c r="F71" s="797"/>
      <c r="G71" s="797">
        <f t="shared" si="0"/>
        <v>62000</v>
      </c>
      <c r="H71" s="1346"/>
    </row>
    <row r="72" spans="1:8" ht="31.5" customHeight="1">
      <c r="A72" s="1358" t="s">
        <v>520</v>
      </c>
      <c r="B72" s="1341" t="s">
        <v>1177</v>
      </c>
      <c r="C72" s="797"/>
      <c r="D72" s="797"/>
      <c r="E72" s="797">
        <v>200000</v>
      </c>
      <c r="F72" s="797"/>
      <c r="G72" s="797">
        <f t="shared" si="0"/>
        <v>200000</v>
      </c>
      <c r="H72" s="1346"/>
    </row>
    <row r="73" spans="1:8" ht="31.5" customHeight="1">
      <c r="A73" s="1349" t="s">
        <v>442</v>
      </c>
      <c r="B73" s="1258" t="s">
        <v>1162</v>
      </c>
      <c r="C73" s="797"/>
      <c r="D73" s="797"/>
      <c r="E73" s="797">
        <v>3937008</v>
      </c>
      <c r="F73" s="797"/>
      <c r="G73" s="797">
        <f t="shared" si="0"/>
        <v>3937008</v>
      </c>
      <c r="H73" s="1346"/>
    </row>
    <row r="74" spans="1:8" ht="47.25">
      <c r="A74" s="1358" t="s">
        <v>831</v>
      </c>
      <c r="B74" s="1258" t="s">
        <v>1160</v>
      </c>
      <c r="C74" s="797"/>
      <c r="D74" s="797"/>
      <c r="E74" s="797">
        <v>1292992</v>
      </c>
      <c r="F74" s="797"/>
      <c r="G74" s="797">
        <f t="shared" si="0"/>
        <v>1292992</v>
      </c>
      <c r="H74" s="1346"/>
    </row>
    <row r="75" spans="1:8" ht="31.5" customHeight="1">
      <c r="A75" s="1349" t="s">
        <v>833</v>
      </c>
      <c r="B75" s="1258" t="s">
        <v>1161</v>
      </c>
      <c r="C75" s="797"/>
      <c r="D75" s="797"/>
      <c r="E75" s="797">
        <v>9800000</v>
      </c>
      <c r="F75" s="797"/>
      <c r="G75" s="797">
        <f t="shared" si="0"/>
        <v>9800000</v>
      </c>
      <c r="H75" s="1346"/>
    </row>
    <row r="76" spans="1:8" ht="31.5" customHeight="1">
      <c r="A76" s="1358" t="s">
        <v>835</v>
      </c>
      <c r="B76" s="1339" t="s">
        <v>1281</v>
      </c>
      <c r="C76" s="797"/>
      <c r="D76" s="797">
        <v>1670000</v>
      </c>
      <c r="E76" s="797"/>
      <c r="F76" s="797"/>
      <c r="G76" s="797">
        <f t="shared" si="0"/>
        <v>1670000</v>
      </c>
      <c r="H76" s="1346"/>
    </row>
    <row r="77" spans="1:8" ht="31.5" customHeight="1" thickBot="1">
      <c r="A77" s="1349" t="s">
        <v>836</v>
      </c>
      <c r="B77" s="1339" t="s">
        <v>1280</v>
      </c>
      <c r="C77" s="797"/>
      <c r="D77" s="797">
        <v>2730000</v>
      </c>
      <c r="E77" s="797"/>
      <c r="F77" s="797"/>
      <c r="G77" s="797">
        <f t="shared" si="0"/>
        <v>2730000</v>
      </c>
      <c r="H77" s="1346"/>
    </row>
    <row r="78" spans="1:8" ht="31.5" customHeight="1" thickBot="1">
      <c r="A78" s="1041" t="s">
        <v>544</v>
      </c>
      <c r="B78" s="1042" t="s">
        <v>545</v>
      </c>
      <c r="C78" s="1356">
        <f>+C79+C80</f>
        <v>156323</v>
      </c>
      <c r="D78" s="1356">
        <f>+D79+D80</f>
        <v>323052475</v>
      </c>
      <c r="E78" s="1356">
        <f>SUM(E79:E83)</f>
        <v>4128840</v>
      </c>
      <c r="F78" s="1356">
        <f>SUM(F79:F83)</f>
        <v>0</v>
      </c>
      <c r="G78" s="1356">
        <f t="shared" si="0"/>
        <v>327181315</v>
      </c>
      <c r="H78" s="1357">
        <f aca="true" t="shared" si="2" ref="H78:H84">G78/(C78*1000)</f>
        <v>2.09</v>
      </c>
    </row>
    <row r="79" spans="1:8" ht="31.5" customHeight="1">
      <c r="A79" s="1358" t="s">
        <v>207</v>
      </c>
      <c r="B79" s="1339" t="s">
        <v>545</v>
      </c>
      <c r="C79" s="797">
        <f>+(C3+C5-C15-C60-C61+C62)*27%</f>
        <v>151204</v>
      </c>
      <c r="D79" s="797">
        <f>+((D3+D5-D15-D60-D61+D62+D68-D20-D59-D16-D18-D19)*27%)+1</f>
        <v>110454050</v>
      </c>
      <c r="E79" s="797">
        <f>+(E3+E5-E15-E60-E61+E62+E68-E20-E59)*27%</f>
        <v>4128840</v>
      </c>
      <c r="F79" s="797">
        <f>+(F3+F5-F15-F60-F61+F62+F68-F20-F59)*27%</f>
        <v>0</v>
      </c>
      <c r="G79" s="797">
        <f t="shared" si="0"/>
        <v>114582890</v>
      </c>
      <c r="H79" s="1732">
        <f t="shared" si="2"/>
        <v>0.76</v>
      </c>
    </row>
    <row r="80" spans="1:8" s="1354" customFormat="1" ht="31.5" customHeight="1">
      <c r="A80" s="1353"/>
      <c r="B80" s="1104" t="s">
        <v>1155</v>
      </c>
      <c r="C80" s="1344">
        <f>SUM(C81:C83)</f>
        <v>5119</v>
      </c>
      <c r="D80" s="1344">
        <f>SUM(D81:D83)</f>
        <v>212598425</v>
      </c>
      <c r="E80" s="1344">
        <f>SUM(E81:E83)</f>
        <v>0</v>
      </c>
      <c r="F80" s="1344">
        <f>SUM(F81:F83)</f>
        <v>0</v>
      </c>
      <c r="G80" s="1344">
        <f t="shared" si="0"/>
        <v>212598425</v>
      </c>
      <c r="H80" s="1347">
        <f t="shared" si="2"/>
        <v>41.53</v>
      </c>
    </row>
    <row r="81" spans="1:8" ht="47.25">
      <c r="A81" s="1352" t="s">
        <v>828</v>
      </c>
      <c r="B81" s="1103" t="s">
        <v>832</v>
      </c>
      <c r="C81" s="797">
        <v>70</v>
      </c>
      <c r="D81" s="797"/>
      <c r="E81" s="797"/>
      <c r="F81" s="797"/>
      <c r="G81" s="797">
        <f t="shared" si="0"/>
        <v>0</v>
      </c>
      <c r="H81" s="1345"/>
    </row>
    <row r="82" spans="1:8" ht="47.25">
      <c r="A82" s="1352" t="s">
        <v>830</v>
      </c>
      <c r="B82" s="1103" t="s">
        <v>834</v>
      </c>
      <c r="C82" s="797">
        <v>5049</v>
      </c>
      <c r="D82" s="797"/>
      <c r="E82" s="797"/>
      <c r="F82" s="797"/>
      <c r="G82" s="797">
        <f t="shared" si="0"/>
        <v>0</v>
      </c>
      <c r="H82" s="1345"/>
    </row>
    <row r="83" spans="1:8" ht="32.25" thickBot="1">
      <c r="A83" s="1361"/>
      <c r="B83" s="1342" t="s">
        <v>1156</v>
      </c>
      <c r="C83" s="797"/>
      <c r="D83" s="797">
        <f>+D59*27%</f>
        <v>212598425</v>
      </c>
      <c r="E83" s="797"/>
      <c r="F83" s="797"/>
      <c r="G83" s="797">
        <f t="shared" si="0"/>
        <v>212598425</v>
      </c>
      <c r="H83" s="1362"/>
    </row>
    <row r="84" spans="1:8" s="1343" customFormat="1" ht="35.25" customHeight="1" thickBot="1">
      <c r="A84" s="719" t="s">
        <v>548</v>
      </c>
      <c r="B84" s="693" t="s">
        <v>547</v>
      </c>
      <c r="C84" s="693">
        <f>C3+C5+C62+C68+C78</f>
        <v>765295</v>
      </c>
      <c r="D84" s="693">
        <f>D3+D5+D62+D68+D78</f>
        <v>2120543122</v>
      </c>
      <c r="E84" s="693">
        <f>E3+E5+E62+E68+E78</f>
        <v>19420840</v>
      </c>
      <c r="F84" s="693">
        <f>F3+F5+F62+F68+F78</f>
        <v>0</v>
      </c>
      <c r="G84" s="693">
        <f t="shared" si="0"/>
        <v>2139963962</v>
      </c>
      <c r="H84" s="706">
        <f t="shared" si="2"/>
        <v>2.8</v>
      </c>
    </row>
  </sheetData>
  <sheetProtection/>
  <mergeCells count="5">
    <mergeCell ref="A1:A2"/>
    <mergeCell ref="H1:H2"/>
    <mergeCell ref="C1:C2"/>
    <mergeCell ref="B1:B2"/>
    <mergeCell ref="D1:G1"/>
  </mergeCells>
  <printOptions horizontalCentered="1"/>
  <pageMargins left="0.5905511811023623" right="0.5905511811023623" top="1.1811023622047245" bottom="1.1811023622047245" header="0.5118110236220472" footer="0.3937007874015748"/>
  <pageSetup fitToHeight="2" fitToWidth="1" orientation="portrait" paperSize="9" scale="47" r:id="rId1"/>
  <headerFooter alignWithMargins="0">
    <oddHeader>&amp;C&amp;"Times New Roman,Normál"PESTERZSÉBET ÖNKORMÁNYZATÁNAK 2017. ÉVI BERUHÁZÁSI KIADÁSAI 
&amp;R&amp;"Times New Roman,Normál"2.7. sz. melléklet&amp;"MS Sans Serif,Normál"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U101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6.00390625" style="157" customWidth="1"/>
    <col min="2" max="2" width="9.57421875" style="157" customWidth="1"/>
    <col min="3" max="3" width="9.421875" style="157" bestFit="1" customWidth="1"/>
    <col min="4" max="4" width="10.00390625" style="157" customWidth="1"/>
    <col min="5" max="5" width="10.140625" style="157" customWidth="1"/>
    <col min="6" max="6" width="12.7109375" style="157" customWidth="1"/>
    <col min="7" max="7" width="9.57421875" style="157" customWidth="1"/>
    <col min="8" max="8" width="9.421875" style="157" bestFit="1" customWidth="1"/>
    <col min="9" max="9" width="9.57421875" style="157" customWidth="1"/>
    <col min="10" max="10" width="10.140625" style="157" customWidth="1"/>
    <col min="11" max="12" width="9.57421875" style="157" customWidth="1"/>
    <col min="13" max="14" width="10.7109375" style="157" customWidth="1"/>
    <col min="15" max="16" width="9.57421875" style="157" customWidth="1"/>
    <col min="17" max="17" width="9.421875" style="157" customWidth="1"/>
    <col min="18" max="18" width="9.140625" style="157" customWidth="1"/>
    <col min="19" max="16384" width="9.140625" style="158" customWidth="1"/>
  </cols>
  <sheetData>
    <row r="1" spans="1:17" ht="19.5" thickBot="1">
      <c r="A1" s="1736" t="s">
        <v>322</v>
      </c>
      <c r="B1" s="1736"/>
      <c r="C1" s="1736"/>
      <c r="D1" s="1736"/>
      <c r="E1" s="1736"/>
      <c r="F1" s="1736"/>
      <c r="G1" s="1736"/>
      <c r="H1" s="1736"/>
      <c r="I1" s="1736"/>
      <c r="J1" s="1736"/>
      <c r="K1" s="1736"/>
      <c r="L1" s="1736"/>
      <c r="M1" s="1736"/>
      <c r="N1" s="1736"/>
      <c r="O1" s="1736"/>
      <c r="P1" s="1736"/>
      <c r="Q1" s="1736"/>
    </row>
    <row r="2" spans="1:17" ht="13.5" thickBot="1">
      <c r="A2" s="110"/>
      <c r="B2" s="111" t="s">
        <v>48</v>
      </c>
      <c r="C2" s="112"/>
      <c r="D2" s="112"/>
      <c r="E2" s="112"/>
      <c r="F2" s="112"/>
      <c r="G2" s="112"/>
      <c r="H2" s="113"/>
      <c r="I2" s="111" t="s">
        <v>49</v>
      </c>
      <c r="J2" s="112"/>
      <c r="K2" s="112"/>
      <c r="L2" s="112"/>
      <c r="M2" s="112"/>
      <c r="N2" s="112"/>
      <c r="O2" s="112"/>
      <c r="P2" s="112"/>
      <c r="Q2" s="113"/>
    </row>
    <row r="3" spans="1:18" s="160" customFormat="1" ht="39" thickBot="1">
      <c r="A3" s="114"/>
      <c r="B3" s="115" t="s">
        <v>51</v>
      </c>
      <c r="C3" s="116" t="s">
        <v>8</v>
      </c>
      <c r="D3" s="116" t="s">
        <v>53</v>
      </c>
      <c r="E3" s="116" t="s">
        <v>54</v>
      </c>
      <c r="F3" s="116" t="s">
        <v>55</v>
      </c>
      <c r="G3" s="116" t="s">
        <v>56</v>
      </c>
      <c r="H3" s="117" t="s">
        <v>315</v>
      </c>
      <c r="I3" s="115" t="s">
        <v>57</v>
      </c>
      <c r="J3" s="116" t="s">
        <v>58</v>
      </c>
      <c r="K3" s="116" t="s">
        <v>59</v>
      </c>
      <c r="L3" s="116" t="s">
        <v>60</v>
      </c>
      <c r="M3" s="116" t="s">
        <v>61</v>
      </c>
      <c r="N3" s="116" t="s">
        <v>291</v>
      </c>
      <c r="O3" s="116" t="s">
        <v>62</v>
      </c>
      <c r="P3" s="116" t="s">
        <v>63</v>
      </c>
      <c r="Q3" s="117" t="s">
        <v>315</v>
      </c>
      <c r="R3" s="159"/>
    </row>
    <row r="4" spans="1:17" ht="14.25" thickBot="1">
      <c r="A4" s="118"/>
      <c r="B4" s="119"/>
      <c r="C4" s="120"/>
      <c r="D4" s="120"/>
      <c r="E4" s="120"/>
      <c r="F4" s="120"/>
      <c r="G4" s="120"/>
      <c r="H4" s="121"/>
      <c r="I4" s="119"/>
      <c r="J4" s="120"/>
      <c r="K4" s="120"/>
      <c r="L4" s="120"/>
      <c r="M4" s="120"/>
      <c r="N4" s="120"/>
      <c r="O4" s="120"/>
      <c r="P4" s="120"/>
      <c r="Q4" s="121"/>
    </row>
    <row r="5" spans="1:17" ht="13.5">
      <c r="A5" s="122" t="s">
        <v>305</v>
      </c>
      <c r="B5" s="123"/>
      <c r="C5" s="124"/>
      <c r="D5" s="124"/>
      <c r="E5" s="124"/>
      <c r="F5" s="124"/>
      <c r="G5" s="124"/>
      <c r="H5" s="125"/>
      <c r="I5" s="123"/>
      <c r="J5" s="124"/>
      <c r="K5" s="124"/>
      <c r="L5" s="124"/>
      <c r="M5" s="124"/>
      <c r="N5" s="124"/>
      <c r="O5" s="124"/>
      <c r="P5" s="124"/>
      <c r="Q5" s="125"/>
    </row>
    <row r="6" spans="1:18" s="162" customFormat="1" ht="13.5">
      <c r="A6" s="126" t="s">
        <v>435</v>
      </c>
      <c r="B6" s="127"/>
      <c r="C6" s="128"/>
      <c r="D6" s="128"/>
      <c r="E6" s="128"/>
      <c r="F6" s="128"/>
      <c r="G6" s="128"/>
      <c r="H6" s="129"/>
      <c r="I6" s="128"/>
      <c r="J6" s="128"/>
      <c r="K6" s="128"/>
      <c r="L6" s="128"/>
      <c r="M6" s="128"/>
      <c r="N6" s="128"/>
      <c r="O6" s="128"/>
      <c r="P6" s="128"/>
      <c r="Q6" s="129"/>
      <c r="R6" s="161"/>
    </row>
    <row r="7" spans="1:18" s="164" customFormat="1" ht="12.75">
      <c r="A7" s="130" t="s">
        <v>46</v>
      </c>
      <c r="B7" s="131"/>
      <c r="C7" s="132"/>
      <c r="D7" s="132"/>
      <c r="E7" s="132"/>
      <c r="F7" s="132"/>
      <c r="G7" s="132"/>
      <c r="H7" s="133"/>
      <c r="I7" s="134"/>
      <c r="J7" s="135"/>
      <c r="K7" s="135"/>
      <c r="L7" s="135"/>
      <c r="M7" s="135"/>
      <c r="N7" s="135"/>
      <c r="O7" s="135"/>
      <c r="P7" s="135"/>
      <c r="Q7" s="133"/>
      <c r="R7" s="163"/>
    </row>
    <row r="8" spans="1:18" s="164" customFormat="1" ht="12.75">
      <c r="A8" s="136" t="s">
        <v>735</v>
      </c>
      <c r="B8" s="137"/>
      <c r="C8" s="138"/>
      <c r="D8" s="138"/>
      <c r="E8" s="138"/>
      <c r="F8" s="138"/>
      <c r="G8" s="138"/>
      <c r="H8" s="139"/>
      <c r="I8" s="140"/>
      <c r="J8" s="141"/>
      <c r="K8" s="141"/>
      <c r="L8" s="141"/>
      <c r="M8" s="141"/>
      <c r="N8" s="141"/>
      <c r="O8" s="141"/>
      <c r="P8" s="141"/>
      <c r="Q8" s="139"/>
      <c r="R8" s="163"/>
    </row>
    <row r="9" spans="1:17" ht="12.75">
      <c r="A9" s="130" t="s">
        <v>17</v>
      </c>
      <c r="B9" s="131"/>
      <c r="C9" s="132"/>
      <c r="D9" s="132"/>
      <c r="E9" s="132"/>
      <c r="F9" s="132"/>
      <c r="G9" s="132"/>
      <c r="H9" s="133"/>
      <c r="I9" s="134"/>
      <c r="J9" s="135"/>
      <c r="K9" s="135"/>
      <c r="L9" s="135"/>
      <c r="M9" s="135"/>
      <c r="N9" s="135"/>
      <c r="O9" s="135"/>
      <c r="P9" s="135"/>
      <c r="Q9" s="133"/>
    </row>
    <row r="10" spans="1:17" ht="13.5">
      <c r="A10" s="126" t="s">
        <v>436</v>
      </c>
      <c r="B10" s="142"/>
      <c r="C10" s="143"/>
      <c r="D10" s="143"/>
      <c r="E10" s="143"/>
      <c r="F10" s="143"/>
      <c r="G10" s="143"/>
      <c r="H10" s="129"/>
      <c r="I10" s="144"/>
      <c r="J10" s="145"/>
      <c r="K10" s="145"/>
      <c r="L10" s="145"/>
      <c r="M10" s="145"/>
      <c r="N10" s="145"/>
      <c r="O10" s="145"/>
      <c r="P10" s="145"/>
      <c r="Q10" s="129"/>
    </row>
    <row r="11" spans="1:17" ht="13.5">
      <c r="A11" s="126" t="s">
        <v>718</v>
      </c>
      <c r="B11" s="142"/>
      <c r="C11" s="143"/>
      <c r="D11" s="143"/>
      <c r="E11" s="143"/>
      <c r="F11" s="143"/>
      <c r="G11" s="143"/>
      <c r="H11" s="129"/>
      <c r="I11" s="128"/>
      <c r="J11" s="128"/>
      <c r="K11" s="128"/>
      <c r="L11" s="128"/>
      <c r="M11" s="128"/>
      <c r="N11" s="128"/>
      <c r="O11" s="128"/>
      <c r="P11" s="128"/>
      <c r="Q11" s="129"/>
    </row>
    <row r="12" spans="1:17" ht="12.75">
      <c r="A12" s="130" t="s">
        <v>729</v>
      </c>
      <c r="B12" s="131"/>
      <c r="C12" s="132"/>
      <c r="D12" s="132"/>
      <c r="E12" s="132"/>
      <c r="F12" s="132"/>
      <c r="G12" s="132"/>
      <c r="H12" s="133"/>
      <c r="I12" s="134"/>
      <c r="J12" s="135"/>
      <c r="K12" s="135"/>
      <c r="L12" s="135"/>
      <c r="M12" s="135"/>
      <c r="N12" s="135"/>
      <c r="O12" s="135"/>
      <c r="P12" s="135"/>
      <c r="Q12" s="133"/>
    </row>
    <row r="13" spans="1:17" ht="12.75">
      <c r="A13" s="136" t="s">
        <v>735</v>
      </c>
      <c r="B13" s="131"/>
      <c r="C13" s="132"/>
      <c r="D13" s="132"/>
      <c r="E13" s="132"/>
      <c r="F13" s="132"/>
      <c r="G13" s="132"/>
      <c r="H13" s="139"/>
      <c r="I13" s="140"/>
      <c r="J13" s="141"/>
      <c r="K13" s="141"/>
      <c r="L13" s="141"/>
      <c r="M13" s="141"/>
      <c r="N13" s="141"/>
      <c r="O13" s="141"/>
      <c r="P13" s="141"/>
      <c r="Q13" s="139"/>
    </row>
    <row r="14" spans="1:17" ht="12.75">
      <c r="A14" s="130" t="s">
        <v>396</v>
      </c>
      <c r="B14" s="131"/>
      <c r="C14" s="132"/>
      <c r="D14" s="132"/>
      <c r="E14" s="132"/>
      <c r="F14" s="132"/>
      <c r="G14" s="132"/>
      <c r="H14" s="133"/>
      <c r="I14" s="134"/>
      <c r="J14" s="135"/>
      <c r="K14" s="135"/>
      <c r="L14" s="135"/>
      <c r="M14" s="135"/>
      <c r="N14" s="135"/>
      <c r="O14" s="135"/>
      <c r="P14" s="135"/>
      <c r="Q14" s="133"/>
    </row>
    <row r="15" spans="1:17" ht="27">
      <c r="A15" s="126" t="s">
        <v>35</v>
      </c>
      <c r="B15" s="142"/>
      <c r="C15" s="143"/>
      <c r="D15" s="143"/>
      <c r="E15" s="143"/>
      <c r="F15" s="143"/>
      <c r="G15" s="143"/>
      <c r="H15" s="129"/>
      <c r="I15" s="144"/>
      <c r="J15" s="145"/>
      <c r="K15" s="145"/>
      <c r="L15" s="145"/>
      <c r="M15" s="145"/>
      <c r="N15" s="145"/>
      <c r="O15" s="145"/>
      <c r="P15" s="145"/>
      <c r="Q15" s="129"/>
    </row>
    <row r="16" spans="1:17" ht="13.5">
      <c r="A16" s="126" t="s">
        <v>47</v>
      </c>
      <c r="B16" s="142"/>
      <c r="C16" s="143"/>
      <c r="D16" s="143"/>
      <c r="E16" s="143"/>
      <c r="F16" s="143"/>
      <c r="G16" s="143"/>
      <c r="H16" s="129"/>
      <c r="I16" s="128"/>
      <c r="J16" s="128"/>
      <c r="K16" s="128"/>
      <c r="L16" s="128"/>
      <c r="M16" s="128"/>
      <c r="N16" s="128"/>
      <c r="O16" s="128"/>
      <c r="P16" s="128"/>
      <c r="Q16" s="129"/>
    </row>
    <row r="17" spans="1:17" ht="12.75">
      <c r="A17" s="130" t="s">
        <v>397</v>
      </c>
      <c r="B17" s="134"/>
      <c r="C17" s="135"/>
      <c r="D17" s="135"/>
      <c r="E17" s="135"/>
      <c r="F17" s="135"/>
      <c r="G17" s="135"/>
      <c r="H17" s="133"/>
      <c r="I17" s="134"/>
      <c r="J17" s="135"/>
      <c r="K17" s="135"/>
      <c r="L17" s="135"/>
      <c r="M17" s="135"/>
      <c r="N17" s="135"/>
      <c r="O17" s="135"/>
      <c r="P17" s="135"/>
      <c r="Q17" s="133"/>
    </row>
    <row r="18" spans="1:17" ht="12.75">
      <c r="A18" s="136" t="s">
        <v>52</v>
      </c>
      <c r="B18" s="140"/>
      <c r="C18" s="141"/>
      <c r="D18" s="141"/>
      <c r="E18" s="141"/>
      <c r="F18" s="141"/>
      <c r="G18" s="141"/>
      <c r="H18" s="139"/>
      <c r="I18" s="140"/>
      <c r="J18" s="141"/>
      <c r="K18" s="141"/>
      <c r="L18" s="141"/>
      <c r="M18" s="141"/>
      <c r="N18" s="141"/>
      <c r="O18" s="141"/>
      <c r="P18" s="141"/>
      <c r="Q18" s="139"/>
    </row>
    <row r="19" spans="1:17" ht="12.75">
      <c r="A19" s="130" t="s">
        <v>699</v>
      </c>
      <c r="B19" s="134"/>
      <c r="C19" s="135"/>
      <c r="D19" s="135"/>
      <c r="E19" s="135"/>
      <c r="F19" s="135"/>
      <c r="G19" s="135"/>
      <c r="H19" s="133"/>
      <c r="I19" s="134"/>
      <c r="J19" s="135"/>
      <c r="K19" s="135"/>
      <c r="L19" s="135"/>
      <c r="M19" s="135"/>
      <c r="N19" s="135"/>
      <c r="O19" s="135"/>
      <c r="P19" s="135"/>
      <c r="Q19" s="133"/>
    </row>
    <row r="20" spans="1:17" ht="12.75">
      <c r="A20" s="130" t="s">
        <v>754</v>
      </c>
      <c r="B20" s="134"/>
      <c r="C20" s="135"/>
      <c r="D20" s="135"/>
      <c r="E20" s="135"/>
      <c r="F20" s="135"/>
      <c r="G20" s="135"/>
      <c r="H20" s="133"/>
      <c r="I20" s="134"/>
      <c r="J20" s="135"/>
      <c r="K20" s="135"/>
      <c r="L20" s="135"/>
      <c r="M20" s="135"/>
      <c r="N20" s="135"/>
      <c r="O20" s="135"/>
      <c r="P20" s="135"/>
      <c r="Q20" s="133"/>
    </row>
    <row r="21" spans="1:17" ht="12.75">
      <c r="A21" s="130" t="s">
        <v>416</v>
      </c>
      <c r="B21" s="134"/>
      <c r="C21" s="135"/>
      <c r="D21" s="135"/>
      <c r="E21" s="135"/>
      <c r="F21" s="135"/>
      <c r="G21" s="135"/>
      <c r="H21" s="133"/>
      <c r="I21" s="134"/>
      <c r="J21" s="135"/>
      <c r="K21" s="135"/>
      <c r="L21" s="135"/>
      <c r="M21" s="135"/>
      <c r="N21" s="135"/>
      <c r="O21" s="135"/>
      <c r="P21" s="135"/>
      <c r="Q21" s="133"/>
    </row>
    <row r="22" spans="1:17" ht="12.75">
      <c r="A22" s="130" t="s">
        <v>417</v>
      </c>
      <c r="B22" s="134"/>
      <c r="C22" s="135"/>
      <c r="D22" s="135"/>
      <c r="E22" s="135"/>
      <c r="F22" s="135"/>
      <c r="G22" s="135"/>
      <c r="H22" s="133"/>
      <c r="I22" s="134"/>
      <c r="J22" s="135"/>
      <c r="K22" s="135"/>
      <c r="L22" s="135"/>
      <c r="M22" s="135"/>
      <c r="N22" s="135"/>
      <c r="O22" s="135"/>
      <c r="P22" s="135"/>
      <c r="Q22" s="133"/>
    </row>
    <row r="23" spans="1:17" ht="12.75">
      <c r="A23" s="130" t="s">
        <v>418</v>
      </c>
      <c r="B23" s="134"/>
      <c r="C23" s="135"/>
      <c r="D23" s="135"/>
      <c r="E23" s="135"/>
      <c r="F23" s="135"/>
      <c r="G23" s="135"/>
      <c r="H23" s="133"/>
      <c r="I23" s="134"/>
      <c r="J23" s="135"/>
      <c r="K23" s="135"/>
      <c r="L23" s="135"/>
      <c r="M23" s="135"/>
      <c r="N23" s="135"/>
      <c r="O23" s="135"/>
      <c r="P23" s="135"/>
      <c r="Q23" s="133"/>
    </row>
    <row r="24" spans="1:17" ht="12.75">
      <c r="A24" s="130" t="s">
        <v>759</v>
      </c>
      <c r="B24" s="134"/>
      <c r="C24" s="135"/>
      <c r="D24" s="135"/>
      <c r="E24" s="135"/>
      <c r="F24" s="135"/>
      <c r="G24" s="135"/>
      <c r="H24" s="133"/>
      <c r="I24" s="134"/>
      <c r="J24" s="135"/>
      <c r="K24" s="135"/>
      <c r="L24" s="135"/>
      <c r="M24" s="135"/>
      <c r="N24" s="135"/>
      <c r="O24" s="135"/>
      <c r="P24" s="135"/>
      <c r="Q24" s="133"/>
    </row>
    <row r="25" spans="1:17" ht="12.75">
      <c r="A25" s="130" t="s">
        <v>419</v>
      </c>
      <c r="B25" s="134"/>
      <c r="C25" s="135"/>
      <c r="D25" s="135"/>
      <c r="E25" s="135"/>
      <c r="F25" s="135"/>
      <c r="G25" s="135"/>
      <c r="H25" s="133"/>
      <c r="I25" s="134"/>
      <c r="J25" s="135"/>
      <c r="K25" s="135"/>
      <c r="L25" s="135"/>
      <c r="M25" s="135"/>
      <c r="N25" s="135"/>
      <c r="O25" s="135"/>
      <c r="P25" s="135"/>
      <c r="Q25" s="133"/>
    </row>
    <row r="26" spans="1:17" ht="12.75">
      <c r="A26" s="130" t="s">
        <v>439</v>
      </c>
      <c r="B26" s="134"/>
      <c r="C26" s="135"/>
      <c r="D26" s="135"/>
      <c r="E26" s="135"/>
      <c r="F26" s="135"/>
      <c r="G26" s="135"/>
      <c r="H26" s="133"/>
      <c r="I26" s="134"/>
      <c r="J26" s="135"/>
      <c r="K26" s="135"/>
      <c r="L26" s="135"/>
      <c r="M26" s="135"/>
      <c r="N26" s="135"/>
      <c r="O26" s="135"/>
      <c r="P26" s="135"/>
      <c r="Q26" s="133"/>
    </row>
    <row r="27" spans="1:17" ht="12.75">
      <c r="A27" s="130" t="s">
        <v>440</v>
      </c>
      <c r="B27" s="134"/>
      <c r="C27" s="135"/>
      <c r="D27" s="135"/>
      <c r="E27" s="135"/>
      <c r="F27" s="135"/>
      <c r="G27" s="135"/>
      <c r="H27" s="133"/>
      <c r="I27" s="134"/>
      <c r="J27" s="135"/>
      <c r="K27" s="135"/>
      <c r="L27" s="135"/>
      <c r="M27" s="135"/>
      <c r="N27" s="135"/>
      <c r="O27" s="135"/>
      <c r="P27" s="135"/>
      <c r="Q27" s="133"/>
    </row>
    <row r="28" spans="1:17" ht="12.75">
      <c r="A28" s="130" t="s">
        <v>310</v>
      </c>
      <c r="B28" s="134"/>
      <c r="C28" s="135"/>
      <c r="D28" s="135"/>
      <c r="E28" s="135"/>
      <c r="F28" s="135"/>
      <c r="G28" s="135"/>
      <c r="H28" s="133"/>
      <c r="I28" s="134"/>
      <c r="J28" s="135"/>
      <c r="K28" s="135"/>
      <c r="L28" s="135"/>
      <c r="M28" s="135"/>
      <c r="N28" s="135"/>
      <c r="O28" s="135"/>
      <c r="P28" s="135"/>
      <c r="Q28" s="133"/>
    </row>
    <row r="29" spans="1:17" ht="12.75">
      <c r="A29" s="130" t="s">
        <v>311</v>
      </c>
      <c r="B29" s="134"/>
      <c r="C29" s="135"/>
      <c r="D29" s="135"/>
      <c r="E29" s="135"/>
      <c r="F29" s="135"/>
      <c r="G29" s="135"/>
      <c r="H29" s="133"/>
      <c r="I29" s="134"/>
      <c r="J29" s="135"/>
      <c r="K29" s="135"/>
      <c r="L29" s="135"/>
      <c r="M29" s="135"/>
      <c r="N29" s="135"/>
      <c r="O29" s="135"/>
      <c r="P29" s="135"/>
      <c r="Q29" s="133"/>
    </row>
    <row r="30" spans="1:17" ht="12.75">
      <c r="A30" s="130" t="s">
        <v>398</v>
      </c>
      <c r="B30" s="134"/>
      <c r="C30" s="135"/>
      <c r="D30" s="135"/>
      <c r="E30" s="135"/>
      <c r="F30" s="135"/>
      <c r="G30" s="135"/>
      <c r="H30" s="133"/>
      <c r="I30" s="134"/>
      <c r="J30" s="135"/>
      <c r="K30" s="135"/>
      <c r="L30" s="135"/>
      <c r="M30" s="135"/>
      <c r="N30" s="135"/>
      <c r="O30" s="135"/>
      <c r="P30" s="135"/>
      <c r="Q30" s="133"/>
    </row>
    <row r="31" spans="1:17" ht="12.75">
      <c r="A31" s="130" t="s">
        <v>755</v>
      </c>
      <c r="B31" s="134"/>
      <c r="C31" s="135"/>
      <c r="D31" s="135"/>
      <c r="E31" s="135"/>
      <c r="F31" s="135"/>
      <c r="G31" s="135"/>
      <c r="H31" s="133"/>
      <c r="I31" s="134"/>
      <c r="J31" s="135"/>
      <c r="K31" s="135"/>
      <c r="L31" s="135"/>
      <c r="M31" s="135"/>
      <c r="N31" s="135"/>
      <c r="O31" s="135"/>
      <c r="P31" s="135"/>
      <c r="Q31" s="133"/>
    </row>
    <row r="32" spans="1:17" ht="12.75">
      <c r="A32" s="130" t="s">
        <v>399</v>
      </c>
      <c r="B32" s="134"/>
      <c r="C32" s="135"/>
      <c r="D32" s="135"/>
      <c r="E32" s="135"/>
      <c r="F32" s="135"/>
      <c r="G32" s="135"/>
      <c r="H32" s="133"/>
      <c r="I32" s="134"/>
      <c r="J32" s="135"/>
      <c r="K32" s="135"/>
      <c r="L32" s="135"/>
      <c r="M32" s="135"/>
      <c r="N32" s="135"/>
      <c r="O32" s="135"/>
      <c r="P32" s="135"/>
      <c r="Q32" s="133"/>
    </row>
    <row r="33" spans="1:17" ht="12.75">
      <c r="A33" s="130" t="s">
        <v>400</v>
      </c>
      <c r="B33" s="134"/>
      <c r="C33" s="135"/>
      <c r="D33" s="135"/>
      <c r="E33" s="135"/>
      <c r="F33" s="135"/>
      <c r="G33" s="135"/>
      <c r="H33" s="133"/>
      <c r="I33" s="134"/>
      <c r="J33" s="135"/>
      <c r="K33" s="135"/>
      <c r="L33" s="135"/>
      <c r="M33" s="135"/>
      <c r="N33" s="135"/>
      <c r="O33" s="135"/>
      <c r="P33" s="135"/>
      <c r="Q33" s="133"/>
    </row>
    <row r="34" spans="1:17" ht="12.75">
      <c r="A34" s="130" t="s">
        <v>312</v>
      </c>
      <c r="B34" s="134"/>
      <c r="C34" s="135"/>
      <c r="D34" s="135"/>
      <c r="E34" s="135"/>
      <c r="F34" s="135"/>
      <c r="G34" s="135"/>
      <c r="H34" s="133"/>
      <c r="I34" s="134"/>
      <c r="J34" s="135"/>
      <c r="K34" s="135"/>
      <c r="L34" s="135"/>
      <c r="M34" s="135"/>
      <c r="N34" s="135"/>
      <c r="O34" s="135"/>
      <c r="P34" s="135"/>
      <c r="Q34" s="133"/>
    </row>
    <row r="35" spans="1:17" ht="12.75">
      <c r="A35" s="130" t="s">
        <v>7</v>
      </c>
      <c r="B35" s="134"/>
      <c r="C35" s="135"/>
      <c r="D35" s="135"/>
      <c r="E35" s="135"/>
      <c r="F35" s="135"/>
      <c r="G35" s="135"/>
      <c r="H35" s="133"/>
      <c r="I35" s="134"/>
      <c r="J35" s="135"/>
      <c r="K35" s="135"/>
      <c r="L35" s="135"/>
      <c r="M35" s="135"/>
      <c r="N35" s="135"/>
      <c r="O35" s="135"/>
      <c r="P35" s="135"/>
      <c r="Q35" s="133"/>
    </row>
    <row r="36" spans="1:17" s="157" customFormat="1" ht="25.5">
      <c r="A36" s="130" t="s">
        <v>25</v>
      </c>
      <c r="B36" s="134"/>
      <c r="C36" s="135"/>
      <c r="D36" s="135"/>
      <c r="E36" s="135"/>
      <c r="F36" s="135"/>
      <c r="G36" s="135"/>
      <c r="H36" s="133"/>
      <c r="I36" s="134"/>
      <c r="J36" s="135"/>
      <c r="K36" s="135"/>
      <c r="L36" s="135"/>
      <c r="M36" s="135"/>
      <c r="N36" s="135"/>
      <c r="O36" s="135"/>
      <c r="P36" s="135"/>
      <c r="Q36" s="133"/>
    </row>
    <row r="37" spans="1:17" s="157" customFormat="1" ht="12.75">
      <c r="A37" s="130" t="s">
        <v>401</v>
      </c>
      <c r="B37" s="134"/>
      <c r="C37" s="135"/>
      <c r="D37" s="135"/>
      <c r="E37" s="135"/>
      <c r="F37" s="135"/>
      <c r="G37" s="135"/>
      <c r="H37" s="133"/>
      <c r="I37" s="134"/>
      <c r="J37" s="135"/>
      <c r="K37" s="135"/>
      <c r="L37" s="135"/>
      <c r="M37" s="135"/>
      <c r="N37" s="135"/>
      <c r="O37" s="135"/>
      <c r="P37" s="135"/>
      <c r="Q37" s="133"/>
    </row>
    <row r="38" spans="1:17" s="157" customFormat="1" ht="12.75">
      <c r="A38" s="130" t="s">
        <v>402</v>
      </c>
      <c r="B38" s="134"/>
      <c r="C38" s="135"/>
      <c r="D38" s="135"/>
      <c r="E38" s="135"/>
      <c r="F38" s="135"/>
      <c r="G38" s="135"/>
      <c r="H38" s="133"/>
      <c r="I38" s="134"/>
      <c r="J38" s="135"/>
      <c r="K38" s="135"/>
      <c r="L38" s="135"/>
      <c r="M38" s="135"/>
      <c r="N38" s="135"/>
      <c r="O38" s="135"/>
      <c r="P38" s="135"/>
      <c r="Q38" s="133"/>
    </row>
    <row r="39" spans="1:17" s="157" customFormat="1" ht="25.5">
      <c r="A39" s="130" t="s">
        <v>392</v>
      </c>
      <c r="B39" s="134"/>
      <c r="C39" s="135"/>
      <c r="D39" s="135"/>
      <c r="E39" s="135"/>
      <c r="F39" s="135"/>
      <c r="G39" s="135"/>
      <c r="H39" s="133"/>
      <c r="I39" s="134"/>
      <c r="J39" s="135"/>
      <c r="K39" s="135"/>
      <c r="L39" s="135"/>
      <c r="M39" s="135"/>
      <c r="N39" s="135"/>
      <c r="O39" s="135"/>
      <c r="P39" s="135"/>
      <c r="Q39" s="133"/>
    </row>
    <row r="40" spans="1:17" s="157" customFormat="1" ht="12.75">
      <c r="A40" s="130" t="s">
        <v>313</v>
      </c>
      <c r="B40" s="134"/>
      <c r="C40" s="135"/>
      <c r="D40" s="135"/>
      <c r="E40" s="135"/>
      <c r="F40" s="135"/>
      <c r="G40" s="135"/>
      <c r="H40" s="133"/>
      <c r="I40" s="134"/>
      <c r="J40" s="135"/>
      <c r="K40" s="135"/>
      <c r="L40" s="135"/>
      <c r="M40" s="135"/>
      <c r="N40" s="135"/>
      <c r="O40" s="135"/>
      <c r="P40" s="135"/>
      <c r="Q40" s="133"/>
    </row>
    <row r="41" spans="1:21" s="157" customFormat="1" ht="12.75">
      <c r="A41" s="130" t="s">
        <v>26</v>
      </c>
      <c r="B41" s="134"/>
      <c r="C41" s="135"/>
      <c r="D41" s="135"/>
      <c r="E41" s="135"/>
      <c r="F41" s="135"/>
      <c r="G41" s="135"/>
      <c r="H41" s="133"/>
      <c r="I41" s="134"/>
      <c r="J41" s="135"/>
      <c r="K41" s="135"/>
      <c r="L41" s="135"/>
      <c r="M41" s="135"/>
      <c r="N41" s="135"/>
      <c r="O41" s="135"/>
      <c r="P41" s="135"/>
      <c r="Q41" s="133"/>
      <c r="S41" s="158"/>
      <c r="T41" s="158"/>
      <c r="U41" s="158"/>
    </row>
    <row r="42" spans="1:21" s="157" customFormat="1" ht="13.5" thickBot="1">
      <c r="A42" s="146" t="s">
        <v>314</v>
      </c>
      <c r="B42" s="147"/>
      <c r="C42" s="148"/>
      <c r="D42" s="148"/>
      <c r="E42" s="148"/>
      <c r="F42" s="148"/>
      <c r="G42" s="148"/>
      <c r="H42" s="149"/>
      <c r="I42" s="147"/>
      <c r="J42" s="148"/>
      <c r="K42" s="148"/>
      <c r="L42" s="148"/>
      <c r="M42" s="148"/>
      <c r="N42" s="148"/>
      <c r="O42" s="148"/>
      <c r="P42" s="148"/>
      <c r="Q42" s="149"/>
      <c r="S42" s="158"/>
      <c r="T42" s="158"/>
      <c r="U42" s="158"/>
    </row>
    <row r="43" spans="1:21" s="157" customFormat="1" ht="13.5" thickBot="1">
      <c r="A43" s="150" t="s">
        <v>70</v>
      </c>
      <c r="B43" s="151"/>
      <c r="C43" s="152"/>
      <c r="D43" s="152"/>
      <c r="E43" s="152"/>
      <c r="F43" s="152"/>
      <c r="G43" s="152"/>
      <c r="H43" s="153"/>
      <c r="I43" s="151"/>
      <c r="J43" s="152"/>
      <c r="K43" s="152"/>
      <c r="L43" s="152"/>
      <c r="M43" s="152"/>
      <c r="N43" s="152"/>
      <c r="O43" s="152"/>
      <c r="P43" s="152"/>
      <c r="Q43" s="153"/>
      <c r="S43" s="158"/>
      <c r="T43" s="158"/>
      <c r="U43" s="158"/>
    </row>
    <row r="44" spans="1:21" s="157" customFormat="1" ht="13.5" thickBot="1">
      <c r="A44" s="150" t="s">
        <v>50</v>
      </c>
      <c r="B44" s="154"/>
      <c r="C44" s="155"/>
      <c r="D44" s="155"/>
      <c r="E44" s="155"/>
      <c r="F44" s="155"/>
      <c r="G44" s="155"/>
      <c r="H44" s="156"/>
      <c r="I44" s="154"/>
      <c r="J44" s="155"/>
      <c r="K44" s="155"/>
      <c r="L44" s="155"/>
      <c r="M44" s="155"/>
      <c r="N44" s="155"/>
      <c r="O44" s="155"/>
      <c r="P44" s="155"/>
      <c r="Q44" s="156"/>
      <c r="S44" s="158"/>
      <c r="T44" s="158"/>
      <c r="U44" s="158"/>
    </row>
    <row r="45" spans="19:21" s="157" customFormat="1" ht="12.75">
      <c r="S45" s="158"/>
      <c r="T45" s="158"/>
      <c r="U45" s="158"/>
    </row>
    <row r="46" spans="19:21" s="157" customFormat="1" ht="25.5" customHeight="1">
      <c r="S46" s="158"/>
      <c r="T46" s="158"/>
      <c r="U46" s="158"/>
    </row>
    <row r="47" spans="19:21" s="157" customFormat="1" ht="21" customHeight="1">
      <c r="S47" s="158"/>
      <c r="T47" s="158"/>
      <c r="U47" s="158"/>
    </row>
    <row r="48" spans="19:21" s="157" customFormat="1" ht="18" customHeight="1">
      <c r="S48" s="158"/>
      <c r="T48" s="158"/>
      <c r="U48" s="158"/>
    </row>
    <row r="49" spans="19:21" s="157" customFormat="1" ht="12.75">
      <c r="S49" s="158"/>
      <c r="T49" s="158"/>
      <c r="U49" s="158"/>
    </row>
    <row r="50" spans="19:21" s="157" customFormat="1" ht="12.75">
      <c r="S50" s="158"/>
      <c r="T50" s="158"/>
      <c r="U50" s="158"/>
    </row>
    <row r="51" spans="19:21" s="157" customFormat="1" ht="12.75">
      <c r="S51" s="158"/>
      <c r="T51" s="158"/>
      <c r="U51" s="158"/>
    </row>
    <row r="52" spans="19:21" s="157" customFormat="1" ht="12.75">
      <c r="S52" s="158"/>
      <c r="T52" s="158"/>
      <c r="U52" s="158"/>
    </row>
    <row r="53" spans="19:21" s="157" customFormat="1" ht="12.75">
      <c r="S53" s="158"/>
      <c r="T53" s="158"/>
      <c r="U53" s="158"/>
    </row>
    <row r="54" spans="19:21" s="157" customFormat="1" ht="12.75">
      <c r="S54" s="158"/>
      <c r="T54" s="158"/>
      <c r="U54" s="158"/>
    </row>
    <row r="55" spans="19:21" s="157" customFormat="1" ht="12.75">
      <c r="S55" s="158"/>
      <c r="T55" s="158"/>
      <c r="U55" s="158"/>
    </row>
    <row r="56" s="157" customFormat="1" ht="12.75"/>
    <row r="57" s="157" customFormat="1" ht="12.75"/>
    <row r="58" s="157" customFormat="1" ht="12.75"/>
    <row r="59" s="157" customFormat="1" ht="12.75"/>
    <row r="60" s="157" customFormat="1" ht="12.75"/>
    <row r="61" s="157" customFormat="1" ht="12.75"/>
    <row r="62" s="157" customFormat="1" ht="12.75"/>
    <row r="63" s="157" customFormat="1" ht="12.75"/>
    <row r="64" s="157" customFormat="1" ht="12.75"/>
    <row r="68" spans="1:17" ht="13.5">
      <c r="A68" s="165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</row>
    <row r="77" spans="1:17" ht="12.75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</row>
    <row r="87" spans="1:17" ht="12.75">
      <c r="A87" s="165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</row>
    <row r="101" spans="2:17" ht="12.75"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</row>
  </sheetData>
  <sheetProtection/>
  <mergeCells count="1">
    <mergeCell ref="A1:Q1"/>
  </mergeCells>
  <printOptions horizontalCentered="1" verticalCentered="1"/>
  <pageMargins left="0.5118110236220472" right="0.5118110236220472" top="0.31496062992125984" bottom="0.5905511811023623" header="0.5118110236220472" footer="0.5118110236220472"/>
  <pageSetup fitToHeight="1" fitToWidth="1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41">
    <pageSetUpPr fitToPage="1"/>
  </sheetPr>
  <dimension ref="A1:H39"/>
  <sheetViews>
    <sheetView zoomScalePageLayoutView="0" workbookViewId="0" topLeftCell="A1">
      <pane ySplit="1" topLeftCell="A35" activePane="bottomLeft" state="frozen"/>
      <selection pane="topLeft" activeCell="A5" sqref="A5"/>
      <selection pane="bottomLeft" activeCell="B14" sqref="B14"/>
    </sheetView>
  </sheetViews>
  <sheetFormatPr defaultColWidth="9.140625" defaultRowHeight="12.75"/>
  <cols>
    <col min="1" max="1" width="9.140625" style="739" customWidth="1"/>
    <col min="2" max="2" width="63.57421875" style="749" bestFit="1" customWidth="1"/>
    <col min="3" max="3" width="14.8515625" style="739" customWidth="1"/>
    <col min="4" max="4" width="14.140625" style="739" customWidth="1"/>
    <col min="5" max="5" width="14.8515625" style="739" customWidth="1"/>
    <col min="6" max="6" width="17.140625" style="739" customWidth="1"/>
    <col min="7" max="7" width="13.7109375" style="739" customWidth="1"/>
    <col min="8" max="8" width="12.8515625" style="739" customWidth="1"/>
    <col min="9" max="9" width="9.57421875" style="83" bestFit="1" customWidth="1"/>
    <col min="10" max="16384" width="9.140625" style="83" customWidth="1"/>
  </cols>
  <sheetData>
    <row r="1" spans="1:8" ht="26.25" customHeight="1">
      <c r="A1" s="1420"/>
      <c r="B1" s="1872" t="s">
        <v>522</v>
      </c>
      <c r="C1" s="1862" t="s">
        <v>1064</v>
      </c>
      <c r="D1" s="1859" t="s">
        <v>1050</v>
      </c>
      <c r="E1" s="1860"/>
      <c r="F1" s="1860"/>
      <c r="G1" s="1861"/>
      <c r="H1" s="1864" t="s">
        <v>1051</v>
      </c>
    </row>
    <row r="2" spans="1:8" ht="39" thickBot="1">
      <c r="A2" s="1421"/>
      <c r="B2" s="1873"/>
      <c r="C2" s="1863"/>
      <c r="D2" s="1122" t="s">
        <v>287</v>
      </c>
      <c r="E2" s="1122" t="s">
        <v>795</v>
      </c>
      <c r="F2" s="1122" t="s">
        <v>796</v>
      </c>
      <c r="G2" s="1122" t="s">
        <v>65</v>
      </c>
      <c r="H2" s="1865"/>
    </row>
    <row r="3" spans="1:8" s="280" customFormat="1" ht="30" customHeight="1" thickBot="1">
      <c r="A3" s="1041" t="s">
        <v>558</v>
      </c>
      <c r="B3" s="1042" t="s">
        <v>559</v>
      </c>
      <c r="C3" s="1043">
        <f>+C4+C11+C14+C27</f>
        <v>158721</v>
      </c>
      <c r="D3" s="1043">
        <f>+D4+D11+D14+D27</f>
        <v>182132472</v>
      </c>
      <c r="E3" s="1043">
        <f>+E4+E11+E14+E27</f>
        <v>0</v>
      </c>
      <c r="F3" s="1043">
        <f>+F4+F11+F14+F27</f>
        <v>0</v>
      </c>
      <c r="G3" s="1043">
        <f>SUM(D3:F3)</f>
        <v>182132472</v>
      </c>
      <c r="H3" s="1044">
        <f>G3/(C3*1000)</f>
        <v>1.15</v>
      </c>
    </row>
    <row r="4" spans="1:8" s="1354" customFormat="1" ht="31.5" customHeight="1">
      <c r="A4" s="1423"/>
      <c r="B4" s="1104" t="s">
        <v>955</v>
      </c>
      <c r="C4" s="1344">
        <f>SUM(C5:C10)</f>
        <v>19721</v>
      </c>
      <c r="D4" s="1344">
        <f>SUM(D5:D10)</f>
        <v>13000000</v>
      </c>
      <c r="E4" s="1344">
        <f>SUM(E5:E10)</f>
        <v>0</v>
      </c>
      <c r="F4" s="1344">
        <f>SUM(F5:F10)</f>
        <v>0</v>
      </c>
      <c r="G4" s="1344">
        <f aca="true" t="shared" si="0" ref="G4:G39">SUM(D4:F4)</f>
        <v>13000000</v>
      </c>
      <c r="H4" s="1347">
        <f>G4/(C4*1000)</f>
        <v>0.66</v>
      </c>
    </row>
    <row r="5" spans="1:8" ht="19.5" customHeight="1">
      <c r="A5" s="1422" t="s">
        <v>207</v>
      </c>
      <c r="B5" s="1026" t="s">
        <v>1286</v>
      </c>
      <c r="C5" s="747">
        <v>3000</v>
      </c>
      <c r="D5" s="747">
        <v>3000000</v>
      </c>
      <c r="E5" s="747"/>
      <c r="F5" s="747"/>
      <c r="G5" s="747">
        <f t="shared" si="0"/>
        <v>3000000</v>
      </c>
      <c r="H5" s="748">
        <f>G5/(C5*1000)</f>
        <v>1</v>
      </c>
    </row>
    <row r="6" spans="1:8" ht="19.5" customHeight="1">
      <c r="A6" s="1422" t="s">
        <v>828</v>
      </c>
      <c r="B6" s="1025" t="s">
        <v>862</v>
      </c>
      <c r="C6" s="747">
        <v>0</v>
      </c>
      <c r="D6" s="747"/>
      <c r="E6" s="747"/>
      <c r="F6" s="747"/>
      <c r="G6" s="747">
        <f t="shared" si="0"/>
        <v>0</v>
      </c>
      <c r="H6" s="748"/>
    </row>
    <row r="7" spans="1:8" ht="19.5" customHeight="1">
      <c r="A7" s="1422" t="s">
        <v>830</v>
      </c>
      <c r="B7" s="1025" t="s">
        <v>1024</v>
      </c>
      <c r="C7" s="747">
        <v>0</v>
      </c>
      <c r="D7" s="747"/>
      <c r="E7" s="747"/>
      <c r="F7" s="747"/>
      <c r="G7" s="747">
        <f t="shared" si="0"/>
        <v>0</v>
      </c>
      <c r="H7" s="748"/>
    </row>
    <row r="8" spans="1:8" ht="19.5" customHeight="1">
      <c r="A8" s="1422" t="s">
        <v>520</v>
      </c>
      <c r="B8" s="1025" t="s">
        <v>988</v>
      </c>
      <c r="C8" s="747">
        <v>1721</v>
      </c>
      <c r="D8" s="747"/>
      <c r="E8" s="747"/>
      <c r="F8" s="747"/>
      <c r="G8" s="747">
        <f t="shared" si="0"/>
        <v>0</v>
      </c>
      <c r="H8" s="748">
        <f aca="true" t="shared" si="1" ref="H8:H19">G8/(C8*1000)</f>
        <v>0</v>
      </c>
    </row>
    <row r="9" spans="1:8" ht="19.5" customHeight="1">
      <c r="A9" s="1422" t="s">
        <v>442</v>
      </c>
      <c r="B9" s="1026" t="s">
        <v>1290</v>
      </c>
      <c r="C9" s="747">
        <v>10000</v>
      </c>
      <c r="D9" s="747">
        <v>5000000</v>
      </c>
      <c r="E9" s="747"/>
      <c r="F9" s="747"/>
      <c r="G9" s="747">
        <f t="shared" si="0"/>
        <v>5000000</v>
      </c>
      <c r="H9" s="748">
        <f t="shared" si="1"/>
        <v>0.5</v>
      </c>
    </row>
    <row r="10" spans="1:8" ht="19.5" customHeight="1">
      <c r="A10" s="1422" t="s">
        <v>831</v>
      </c>
      <c r="B10" s="1026" t="s">
        <v>1291</v>
      </c>
      <c r="C10" s="747">
        <v>5000</v>
      </c>
      <c r="D10" s="747">
        <v>5000000</v>
      </c>
      <c r="E10" s="747"/>
      <c r="F10" s="747"/>
      <c r="G10" s="747">
        <f t="shared" si="0"/>
        <v>5000000</v>
      </c>
      <c r="H10" s="748">
        <f t="shared" si="1"/>
        <v>1</v>
      </c>
    </row>
    <row r="11" spans="1:8" s="1354" customFormat="1" ht="31.5" customHeight="1">
      <c r="A11" s="1423"/>
      <c r="B11" s="1104" t="s">
        <v>956</v>
      </c>
      <c r="C11" s="1344">
        <f>SUM(C12:C13)</f>
        <v>85000</v>
      </c>
      <c r="D11" s="1344">
        <f>SUM(D12:D13)</f>
        <v>83000000</v>
      </c>
      <c r="E11" s="1344">
        <f>SUM(E12:E13)</f>
        <v>0</v>
      </c>
      <c r="F11" s="1344">
        <f>SUM(F12:F13)</f>
        <v>0</v>
      </c>
      <c r="G11" s="1344">
        <f t="shared" si="0"/>
        <v>83000000</v>
      </c>
      <c r="H11" s="1347">
        <f t="shared" si="1"/>
        <v>0.98</v>
      </c>
    </row>
    <row r="12" spans="1:8" ht="19.5" customHeight="1">
      <c r="A12" s="1422" t="s">
        <v>833</v>
      </c>
      <c r="B12" s="1025" t="s">
        <v>989</v>
      </c>
      <c r="C12" s="747">
        <v>5000</v>
      </c>
      <c r="D12" s="747">
        <v>3000000</v>
      </c>
      <c r="E12" s="747"/>
      <c r="F12" s="747"/>
      <c r="G12" s="747">
        <f t="shared" si="0"/>
        <v>3000000</v>
      </c>
      <c r="H12" s="748">
        <f t="shared" si="1"/>
        <v>0.6</v>
      </c>
    </row>
    <row r="13" spans="1:8" ht="19.5" customHeight="1">
      <c r="A13" s="1422" t="s">
        <v>835</v>
      </c>
      <c r="B13" s="1025" t="s">
        <v>1292</v>
      </c>
      <c r="C13" s="747">
        <v>80000</v>
      </c>
      <c r="D13" s="747">
        <v>80000000</v>
      </c>
      <c r="E13" s="747"/>
      <c r="F13" s="747"/>
      <c r="G13" s="747">
        <f t="shared" si="0"/>
        <v>80000000</v>
      </c>
      <c r="H13" s="748">
        <f t="shared" si="1"/>
        <v>1</v>
      </c>
    </row>
    <row r="14" spans="1:8" s="1354" customFormat="1" ht="31.5" customHeight="1">
      <c r="A14" s="1423"/>
      <c r="B14" s="1104" t="s">
        <v>957</v>
      </c>
      <c r="C14" s="1344">
        <f>SUM(C15:C26)</f>
        <v>54000</v>
      </c>
      <c r="D14" s="1344">
        <f>SUM(D15:D26)</f>
        <v>63310500</v>
      </c>
      <c r="E14" s="1344">
        <f>SUM(E15:E26)</f>
        <v>0</v>
      </c>
      <c r="F14" s="1344">
        <f>SUM(F15:F26)</f>
        <v>0</v>
      </c>
      <c r="G14" s="1344">
        <f t="shared" si="0"/>
        <v>63310500</v>
      </c>
      <c r="H14" s="1347">
        <f t="shared" si="1"/>
        <v>1.17</v>
      </c>
    </row>
    <row r="15" spans="1:8" ht="19.5" customHeight="1">
      <c r="A15" s="1422" t="s">
        <v>836</v>
      </c>
      <c r="B15" s="1025" t="s">
        <v>1038</v>
      </c>
      <c r="C15" s="747">
        <v>5000</v>
      </c>
      <c r="D15" s="747"/>
      <c r="E15" s="747"/>
      <c r="F15" s="747"/>
      <c r="G15" s="747">
        <f t="shared" si="0"/>
        <v>0</v>
      </c>
      <c r="H15" s="748">
        <f t="shared" si="1"/>
        <v>0</v>
      </c>
    </row>
    <row r="16" spans="1:8" ht="19.5" customHeight="1">
      <c r="A16" s="1422" t="s">
        <v>837</v>
      </c>
      <c r="B16" s="1025" t="s">
        <v>1037</v>
      </c>
      <c r="C16" s="747">
        <v>4000</v>
      </c>
      <c r="D16" s="747"/>
      <c r="E16" s="747"/>
      <c r="F16" s="747"/>
      <c r="G16" s="747">
        <f t="shared" si="0"/>
        <v>0</v>
      </c>
      <c r="H16" s="748">
        <f t="shared" si="1"/>
        <v>0</v>
      </c>
    </row>
    <row r="17" spans="1:8" ht="19.5" customHeight="1">
      <c r="A17" s="1422" t="s">
        <v>838</v>
      </c>
      <c r="B17" s="1025" t="s">
        <v>1036</v>
      </c>
      <c r="C17" s="747">
        <v>4000</v>
      </c>
      <c r="D17" s="747"/>
      <c r="E17" s="747"/>
      <c r="F17" s="747"/>
      <c r="G17" s="747">
        <f t="shared" si="0"/>
        <v>0</v>
      </c>
      <c r="H17" s="748">
        <f t="shared" si="1"/>
        <v>0</v>
      </c>
    </row>
    <row r="18" spans="1:8" ht="19.5" customHeight="1">
      <c r="A18" s="1422" t="s">
        <v>839</v>
      </c>
      <c r="B18" s="1025" t="s">
        <v>987</v>
      </c>
      <c r="C18" s="747">
        <v>8000</v>
      </c>
      <c r="D18" s="747"/>
      <c r="E18" s="747"/>
      <c r="F18" s="747"/>
      <c r="G18" s="747">
        <f t="shared" si="0"/>
        <v>0</v>
      </c>
      <c r="H18" s="748">
        <f t="shared" si="1"/>
        <v>0</v>
      </c>
    </row>
    <row r="19" spans="1:8" ht="19.5" customHeight="1">
      <c r="A19" s="1422" t="s">
        <v>840</v>
      </c>
      <c r="B19" s="1025" t="s">
        <v>1035</v>
      </c>
      <c r="C19" s="747">
        <v>5000</v>
      </c>
      <c r="D19" s="747">
        <v>5000000</v>
      </c>
      <c r="E19" s="747"/>
      <c r="F19" s="747"/>
      <c r="G19" s="747">
        <f t="shared" si="0"/>
        <v>5000000</v>
      </c>
      <c r="H19" s="748">
        <f t="shared" si="1"/>
        <v>1</v>
      </c>
    </row>
    <row r="20" spans="1:8" ht="19.5" customHeight="1">
      <c r="A20" s="1422" t="s">
        <v>841</v>
      </c>
      <c r="B20" s="1025" t="s">
        <v>1034</v>
      </c>
      <c r="C20" s="747">
        <v>3000</v>
      </c>
      <c r="D20" s="747"/>
      <c r="E20" s="747"/>
      <c r="F20" s="747"/>
      <c r="G20" s="747">
        <f t="shared" si="0"/>
        <v>0</v>
      </c>
      <c r="H20" s="748"/>
    </row>
    <row r="21" spans="1:8" ht="19.5" customHeight="1">
      <c r="A21" s="1422" t="s">
        <v>842</v>
      </c>
      <c r="B21" s="1025" t="s">
        <v>1033</v>
      </c>
      <c r="C21" s="747">
        <v>5000</v>
      </c>
      <c r="D21" s="747"/>
      <c r="E21" s="747"/>
      <c r="F21" s="747"/>
      <c r="G21" s="747">
        <f t="shared" si="0"/>
        <v>0</v>
      </c>
      <c r="H21" s="748"/>
    </row>
    <row r="22" spans="1:8" ht="19.5" customHeight="1">
      <c r="A22" s="1422" t="s">
        <v>843</v>
      </c>
      <c r="B22" s="1025" t="s">
        <v>1032</v>
      </c>
      <c r="C22" s="747">
        <v>15000</v>
      </c>
      <c r="D22" s="747">
        <v>50000000</v>
      </c>
      <c r="E22" s="747"/>
      <c r="F22" s="747"/>
      <c r="G22" s="747">
        <f t="shared" si="0"/>
        <v>50000000</v>
      </c>
      <c r="H22" s="748">
        <f>G22/(C22*1000)</f>
        <v>3.33</v>
      </c>
    </row>
    <row r="23" spans="1:8" ht="31.5">
      <c r="A23" s="1422" t="s">
        <v>844</v>
      </c>
      <c r="B23" s="1029" t="s">
        <v>1031</v>
      </c>
      <c r="C23" s="747">
        <v>5000</v>
      </c>
      <c r="D23" s="1028"/>
      <c r="E23" s="1028"/>
      <c r="F23" s="1028"/>
      <c r="G23" s="1028">
        <f t="shared" si="0"/>
        <v>0</v>
      </c>
      <c r="H23" s="1030">
        <f>G23/(C23*1000)</f>
        <v>0</v>
      </c>
    </row>
    <row r="24" spans="1:8" ht="19.5" customHeight="1">
      <c r="A24" s="1422" t="s">
        <v>845</v>
      </c>
      <c r="B24" s="1339" t="s">
        <v>1164</v>
      </c>
      <c r="C24" s="747"/>
      <c r="D24" s="747">
        <v>179300</v>
      </c>
      <c r="E24" s="747"/>
      <c r="F24" s="747"/>
      <c r="G24" s="1028">
        <f t="shared" si="0"/>
        <v>179300</v>
      </c>
      <c r="H24" s="748"/>
    </row>
    <row r="25" spans="1:8" ht="19.5" customHeight="1">
      <c r="A25" s="1422" t="s">
        <v>846</v>
      </c>
      <c r="B25" s="1339" t="s">
        <v>1165</v>
      </c>
      <c r="C25" s="1024"/>
      <c r="D25" s="747">
        <v>3511200</v>
      </c>
      <c r="E25" s="747"/>
      <c r="F25" s="747"/>
      <c r="G25" s="1028">
        <f t="shared" si="0"/>
        <v>3511200</v>
      </c>
      <c r="H25" s="748"/>
    </row>
    <row r="26" spans="1:8" ht="19.5" customHeight="1">
      <c r="A26" s="1422" t="s">
        <v>847</v>
      </c>
      <c r="B26" s="1339" t="s">
        <v>1287</v>
      </c>
      <c r="C26" s="1024"/>
      <c r="D26" s="747">
        <v>4620000</v>
      </c>
      <c r="E26" s="747"/>
      <c r="F26" s="747"/>
      <c r="G26" s="1028">
        <f t="shared" si="0"/>
        <v>4620000</v>
      </c>
      <c r="H26" s="748"/>
    </row>
    <row r="27" spans="1:8" s="1354" customFormat="1" ht="31.5" customHeight="1">
      <c r="A27" s="1423"/>
      <c r="B27" s="1104" t="s">
        <v>1155</v>
      </c>
      <c r="C27" s="1344">
        <f>SUM(C28:C29)</f>
        <v>0</v>
      </c>
      <c r="D27" s="1344">
        <f>SUM(D28:D29)</f>
        <v>22821972</v>
      </c>
      <c r="E27" s="1344">
        <f>SUM(E28:E29)</f>
        <v>0</v>
      </c>
      <c r="F27" s="1344">
        <f>SUM(F28:F29)</f>
        <v>0</v>
      </c>
      <c r="G27" s="1344">
        <f t="shared" si="0"/>
        <v>22821972</v>
      </c>
      <c r="H27" s="1347"/>
    </row>
    <row r="28" spans="1:8" ht="63">
      <c r="A28" s="1424" t="s">
        <v>848</v>
      </c>
      <c r="B28" s="1340" t="s">
        <v>1288</v>
      </c>
      <c r="C28" s="1032"/>
      <c r="D28" s="1033">
        <v>22820472</v>
      </c>
      <c r="E28" s="1033"/>
      <c r="F28" s="1033"/>
      <c r="G28" s="1033">
        <f t="shared" si="0"/>
        <v>22820472</v>
      </c>
      <c r="H28" s="1038"/>
    </row>
    <row r="29" spans="1:8" ht="48" thickBot="1">
      <c r="A29" s="1424" t="s">
        <v>849</v>
      </c>
      <c r="B29" s="1364" t="s">
        <v>1166</v>
      </c>
      <c r="C29" s="1032"/>
      <c r="D29" s="1033">
        <v>1500</v>
      </c>
      <c r="E29" s="1033"/>
      <c r="F29" s="1033"/>
      <c r="G29" s="1033">
        <f t="shared" si="0"/>
        <v>1500</v>
      </c>
      <c r="H29" s="1038"/>
    </row>
    <row r="30" spans="1:8" s="280" customFormat="1" ht="30" customHeight="1" thickBot="1">
      <c r="A30" s="1041" t="s">
        <v>560</v>
      </c>
      <c r="B30" s="1042" t="s">
        <v>561</v>
      </c>
      <c r="C30" s="1043">
        <f>+C31</f>
        <v>17000</v>
      </c>
      <c r="D30" s="1043">
        <f>+D31</f>
        <v>10000000</v>
      </c>
      <c r="E30" s="1043">
        <f>+E31</f>
        <v>0</v>
      </c>
      <c r="F30" s="1043">
        <f>+F31</f>
        <v>0</v>
      </c>
      <c r="G30" s="1043">
        <f t="shared" si="0"/>
        <v>10000000</v>
      </c>
      <c r="H30" s="1044">
        <f aca="true" t="shared" si="2" ref="H30:H35">G30/(C30*1000)</f>
        <v>0.59</v>
      </c>
    </row>
    <row r="31" spans="1:8" ht="19.5" customHeight="1" thickBot="1">
      <c r="A31" s="1422" t="s">
        <v>207</v>
      </c>
      <c r="B31" s="1031" t="s">
        <v>990</v>
      </c>
      <c r="C31" s="1033">
        <v>17000</v>
      </c>
      <c r="D31" s="1033">
        <v>10000000</v>
      </c>
      <c r="E31" s="1034"/>
      <c r="F31" s="1034"/>
      <c r="G31" s="1034">
        <f t="shared" si="0"/>
        <v>10000000</v>
      </c>
      <c r="H31" s="1035">
        <f t="shared" si="2"/>
        <v>0.59</v>
      </c>
    </row>
    <row r="32" spans="1:8" s="280" customFormat="1" ht="30" customHeight="1" thickBot="1">
      <c r="A32" s="1041" t="s">
        <v>562</v>
      </c>
      <c r="B32" s="1042" t="s">
        <v>563</v>
      </c>
      <c r="C32" s="1043">
        <f>C33</f>
        <v>800</v>
      </c>
      <c r="D32" s="1043">
        <f>D33</f>
        <v>800000</v>
      </c>
      <c r="E32" s="1043">
        <f>E33</f>
        <v>0</v>
      </c>
      <c r="F32" s="1043">
        <f>F33</f>
        <v>0</v>
      </c>
      <c r="G32" s="1043">
        <f t="shared" si="0"/>
        <v>800000</v>
      </c>
      <c r="H32" s="1044">
        <f t="shared" si="2"/>
        <v>1</v>
      </c>
    </row>
    <row r="33" spans="1:8" ht="19.5" customHeight="1" thickBot="1">
      <c r="A33" s="1422" t="s">
        <v>207</v>
      </c>
      <c r="B33" s="1036" t="s">
        <v>1289</v>
      </c>
      <c r="C33" s="1033">
        <v>800</v>
      </c>
      <c r="D33" s="1033">
        <v>800000</v>
      </c>
      <c r="E33" s="1033"/>
      <c r="F33" s="1037"/>
      <c r="G33" s="1033">
        <f t="shared" si="0"/>
        <v>800000</v>
      </c>
      <c r="H33" s="1038">
        <f t="shared" si="2"/>
        <v>1</v>
      </c>
    </row>
    <row r="34" spans="1:8" s="280" customFormat="1" ht="30" customHeight="1" thickBot="1">
      <c r="A34" s="1041" t="s">
        <v>564</v>
      </c>
      <c r="B34" s="1042" t="s">
        <v>565</v>
      </c>
      <c r="C34" s="1043">
        <f>+C35+C36</f>
        <v>47661</v>
      </c>
      <c r="D34" s="1043">
        <f>+D35+D36</f>
        <v>52091767</v>
      </c>
      <c r="E34" s="1043">
        <f>+E35+E36</f>
        <v>0</v>
      </c>
      <c r="F34" s="1043">
        <f>+F35+F36</f>
        <v>0</v>
      </c>
      <c r="G34" s="1043">
        <f t="shared" si="0"/>
        <v>52091767</v>
      </c>
      <c r="H34" s="1044">
        <f t="shared" si="2"/>
        <v>1.09</v>
      </c>
    </row>
    <row r="35" spans="1:8" s="1107" customFormat="1" ht="19.5" customHeight="1">
      <c r="A35" s="1422" t="s">
        <v>207</v>
      </c>
      <c r="B35" s="1339" t="s">
        <v>565</v>
      </c>
      <c r="C35" s="797">
        <f>+(C3+C30+C32)*27%</f>
        <v>47661</v>
      </c>
      <c r="D35" s="797">
        <f>+((D3+D30+D32-D28-D29)*27%)-1</f>
        <v>45929834</v>
      </c>
      <c r="E35" s="797">
        <f>+(E3+E30+E32)*27%</f>
        <v>0</v>
      </c>
      <c r="F35" s="797">
        <f>+(F3+F30+F32)*27%</f>
        <v>0</v>
      </c>
      <c r="G35" s="1033">
        <f t="shared" si="0"/>
        <v>45929834</v>
      </c>
      <c r="H35" s="1346">
        <f t="shared" si="2"/>
        <v>0.96</v>
      </c>
    </row>
    <row r="36" spans="1:8" s="1354" customFormat="1" ht="31.5" customHeight="1">
      <c r="A36" s="1423"/>
      <c r="B36" s="1104" t="s">
        <v>1155</v>
      </c>
      <c r="C36" s="1344">
        <f>SUM(C37:C38)</f>
        <v>0</v>
      </c>
      <c r="D36" s="1344">
        <f>SUM(D37:D38)</f>
        <v>6161933</v>
      </c>
      <c r="E36" s="1344">
        <f>SUM(E37:E38)</f>
        <v>0</v>
      </c>
      <c r="F36" s="1344">
        <f>SUM(F37:F38)</f>
        <v>0</v>
      </c>
      <c r="G36" s="1344">
        <f t="shared" si="0"/>
        <v>6161933</v>
      </c>
      <c r="H36" s="1347"/>
    </row>
    <row r="37" spans="1:8" s="1107" customFormat="1" ht="63">
      <c r="A37" s="1425" t="s">
        <v>828</v>
      </c>
      <c r="B37" s="1365" t="s">
        <v>1167</v>
      </c>
      <c r="C37" s="797"/>
      <c r="D37" s="797">
        <v>6161528</v>
      </c>
      <c r="E37" s="797"/>
      <c r="F37" s="797"/>
      <c r="G37" s="797">
        <f t="shared" si="0"/>
        <v>6161528</v>
      </c>
      <c r="H37" s="1345"/>
    </row>
    <row r="38" spans="1:8" s="1107" customFormat="1" ht="47.25">
      <c r="A38" s="1425" t="s">
        <v>830</v>
      </c>
      <c r="B38" s="1364" t="s">
        <v>1168</v>
      </c>
      <c r="C38" s="797"/>
      <c r="D38" s="797">
        <v>405</v>
      </c>
      <c r="E38" s="797"/>
      <c r="F38" s="797"/>
      <c r="G38" s="797">
        <f t="shared" si="0"/>
        <v>405</v>
      </c>
      <c r="H38" s="1345"/>
    </row>
    <row r="39" spans="1:8" ht="33" customHeight="1" thickBot="1">
      <c r="A39" s="1426"/>
      <c r="B39" s="1039" t="s">
        <v>567</v>
      </c>
      <c r="C39" s="1039">
        <f>C3+C30+C32+C34</f>
        <v>224182</v>
      </c>
      <c r="D39" s="1039">
        <f>D3+D30+D32+D34</f>
        <v>245024239</v>
      </c>
      <c r="E39" s="1039">
        <f>E3+E30+E32+E34</f>
        <v>0</v>
      </c>
      <c r="F39" s="1039">
        <f>F3+F30+F32+F34</f>
        <v>0</v>
      </c>
      <c r="G39" s="1039">
        <f t="shared" si="0"/>
        <v>245024239</v>
      </c>
      <c r="H39" s="1040">
        <f>G39/(C39*1000)</f>
        <v>1.09</v>
      </c>
    </row>
  </sheetData>
  <sheetProtection/>
  <mergeCells count="4">
    <mergeCell ref="H1:H2"/>
    <mergeCell ref="D1:G1"/>
    <mergeCell ref="B1:B2"/>
    <mergeCell ref="C1:C2"/>
  </mergeCells>
  <printOptions gridLines="1" horizontalCentered="1"/>
  <pageMargins left="0.5905511811023623" right="0.5905511811023623" top="0.984251968503937" bottom="0.5905511811023623" header="0.3937007874015748" footer="0.3937007874015748"/>
  <pageSetup fitToHeight="1" fitToWidth="1" orientation="portrait" paperSize="9" scale="57" r:id="rId1"/>
  <headerFooter alignWithMargins="0">
    <oddHeader>&amp;L
     &amp;"MS Sans Serif,Félkövér" &amp;C&amp;"Times New Roman,Normál"
PESTERZSÉBET ÖNKORMÁNYZATÁNAK  2017. ÉVI FELÚJÍTÁSI  KIADÁSAI &amp;"Times New Roman,Félkövér"
&amp;R&amp;"Times New Roman,Normál"2.8. sz. melléklet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50">
    <pageSetUpPr fitToPage="1"/>
  </sheetPr>
  <dimension ref="A1:L42"/>
  <sheetViews>
    <sheetView workbookViewId="0" topLeftCell="A1">
      <selection activeCell="B34" sqref="B34"/>
    </sheetView>
  </sheetViews>
  <sheetFormatPr defaultColWidth="9.140625" defaultRowHeight="12.75"/>
  <cols>
    <col min="1" max="1" width="8.421875" style="343" bestFit="1" customWidth="1"/>
    <col min="2" max="2" width="47.140625" style="311" customWidth="1"/>
    <col min="3" max="7" width="14.140625" style="311" bestFit="1" customWidth="1"/>
    <col min="8" max="9" width="12.7109375" style="311" bestFit="1" customWidth="1"/>
    <col min="10" max="10" width="13.7109375" style="311" bestFit="1" customWidth="1"/>
    <col min="11" max="11" width="13.8515625" style="311" bestFit="1" customWidth="1"/>
    <col min="12" max="12" width="12.57421875" style="311" bestFit="1" customWidth="1"/>
    <col min="13" max="16384" width="9.140625" style="311" customWidth="1"/>
  </cols>
  <sheetData>
    <row r="1" spans="1:11" ht="42.75" customHeight="1" thickBot="1">
      <c r="A1" s="310" t="s">
        <v>332</v>
      </c>
      <c r="B1" s="310" t="s">
        <v>728</v>
      </c>
      <c r="C1" s="1874" t="s">
        <v>525</v>
      </c>
      <c r="D1" s="1875"/>
      <c r="E1" s="1875"/>
      <c r="F1" s="1875"/>
      <c r="G1" s="1876"/>
      <c r="H1" s="1876"/>
      <c r="I1" s="1876"/>
      <c r="J1" s="1876"/>
      <c r="K1" s="1877" t="s">
        <v>315</v>
      </c>
    </row>
    <row r="2" spans="1:11" ht="43.5" customHeight="1" thickBot="1">
      <c r="A2" s="312"/>
      <c r="B2" s="313"/>
      <c r="C2" s="455" t="s">
        <v>1061</v>
      </c>
      <c r="D2" s="414" t="s">
        <v>780</v>
      </c>
      <c r="E2" s="415" t="s">
        <v>781</v>
      </c>
      <c r="F2" s="414" t="s">
        <v>202</v>
      </c>
      <c r="G2" s="415" t="s">
        <v>364</v>
      </c>
      <c r="H2" s="414" t="s">
        <v>871</v>
      </c>
      <c r="I2" s="414" t="s">
        <v>1062</v>
      </c>
      <c r="J2" s="416" t="s">
        <v>1063</v>
      </c>
      <c r="K2" s="1878"/>
    </row>
    <row r="3" spans="1:11" ht="12.75">
      <c r="A3" s="314">
        <v>1</v>
      </c>
      <c r="B3" s="315" t="s">
        <v>275</v>
      </c>
      <c r="C3" s="316">
        <v>4865431000</v>
      </c>
      <c r="D3" s="316">
        <v>4865431000</v>
      </c>
      <c r="E3" s="316">
        <v>4865431000</v>
      </c>
      <c r="F3" s="316">
        <v>4865431000</v>
      </c>
      <c r="G3" s="316">
        <v>4865431000</v>
      </c>
      <c r="H3" s="316"/>
      <c r="I3" s="316"/>
      <c r="J3" s="316">
        <f>+I3*3</f>
        <v>0</v>
      </c>
      <c r="K3" s="317">
        <f>SUM(C3:J3)</f>
        <v>24327155000</v>
      </c>
    </row>
    <row r="4" spans="1:11" ht="12.75">
      <c r="A4" s="318">
        <v>2</v>
      </c>
      <c r="B4" s="319" t="s">
        <v>1299</v>
      </c>
      <c r="C4" s="321"/>
      <c r="D4" s="321"/>
      <c r="E4" s="321"/>
      <c r="F4" s="321"/>
      <c r="G4" s="321"/>
      <c r="H4" s="321"/>
      <c r="I4" s="321"/>
      <c r="J4" s="321"/>
      <c r="K4" s="322"/>
    </row>
    <row r="5" spans="1:11" ht="12.75">
      <c r="A5" s="318">
        <v>3</v>
      </c>
      <c r="B5" s="319" t="s">
        <v>1300</v>
      </c>
      <c r="C5" s="324">
        <v>26599000</v>
      </c>
      <c r="D5" s="324">
        <v>26599000</v>
      </c>
      <c r="E5" s="324">
        <v>26599000</v>
      </c>
      <c r="F5" s="324">
        <v>26599000</v>
      </c>
      <c r="G5" s="324">
        <v>26599000</v>
      </c>
      <c r="H5" s="324"/>
      <c r="I5" s="324"/>
      <c r="J5" s="324">
        <f>+I5*3</f>
        <v>0</v>
      </c>
      <c r="K5" s="325">
        <f>SUM(C5:J5)</f>
        <v>132995000</v>
      </c>
    </row>
    <row r="6" spans="1:11" ht="25.5">
      <c r="A6" s="318">
        <v>4</v>
      </c>
      <c r="B6" s="319" t="s">
        <v>1301</v>
      </c>
      <c r="C6" s="324">
        <v>233700000</v>
      </c>
      <c r="D6" s="324">
        <v>233700000</v>
      </c>
      <c r="E6" s="324">
        <v>233700000</v>
      </c>
      <c r="F6" s="324">
        <v>233700000</v>
      </c>
      <c r="G6" s="324">
        <v>233700000</v>
      </c>
      <c r="H6" s="324"/>
      <c r="I6" s="324"/>
      <c r="J6" s="324">
        <f>+I6*3</f>
        <v>0</v>
      </c>
      <c r="K6" s="325">
        <f>SUM(C6:J6)</f>
        <v>1168500000</v>
      </c>
    </row>
    <row r="7" spans="1:11" ht="25.5">
      <c r="A7" s="318">
        <v>5</v>
      </c>
      <c r="B7" s="319" t="s">
        <v>1304</v>
      </c>
      <c r="C7" s="321"/>
      <c r="D7" s="321"/>
      <c r="E7" s="321"/>
      <c r="F7" s="321"/>
      <c r="G7" s="321"/>
      <c r="H7" s="321"/>
      <c r="I7" s="321"/>
      <c r="J7" s="321"/>
      <c r="K7" s="322"/>
    </row>
    <row r="8" spans="1:11" ht="12.75">
      <c r="A8" s="318">
        <v>6</v>
      </c>
      <c r="B8" s="319" t="s">
        <v>1302</v>
      </c>
      <c r="C8" s="321"/>
      <c r="D8" s="321"/>
      <c r="E8" s="321"/>
      <c r="F8" s="321"/>
      <c r="G8" s="321"/>
      <c r="H8" s="321"/>
      <c r="I8" s="321"/>
      <c r="J8" s="321"/>
      <c r="K8" s="322"/>
    </row>
    <row r="9" spans="1:11" ht="26.25" thickBot="1">
      <c r="A9" s="326">
        <v>7</v>
      </c>
      <c r="B9" s="327" t="s">
        <v>1303</v>
      </c>
      <c r="C9" s="421"/>
      <c r="D9" s="421"/>
      <c r="E9" s="421"/>
      <c r="F9" s="421"/>
      <c r="G9" s="421"/>
      <c r="H9" s="421"/>
      <c r="I9" s="421"/>
      <c r="J9" s="329"/>
      <c r="K9" s="330"/>
    </row>
    <row r="10" spans="1:12" s="335" customFormat="1" ht="34.5" customHeight="1" thickBot="1">
      <c r="A10" s="310">
        <v>8</v>
      </c>
      <c r="B10" s="331" t="s">
        <v>276</v>
      </c>
      <c r="C10" s="332">
        <f aca="true" t="shared" si="0" ref="C10:J10">SUM(C3:C9)</f>
        <v>5125730000</v>
      </c>
      <c r="D10" s="333">
        <f t="shared" si="0"/>
        <v>5125730000</v>
      </c>
      <c r="E10" s="332">
        <f t="shared" si="0"/>
        <v>5125730000</v>
      </c>
      <c r="F10" s="333">
        <f t="shared" si="0"/>
        <v>5125730000</v>
      </c>
      <c r="G10" s="333">
        <f t="shared" si="0"/>
        <v>5125730000</v>
      </c>
      <c r="H10" s="333">
        <f t="shared" si="0"/>
        <v>0</v>
      </c>
      <c r="I10" s="333">
        <f t="shared" si="0"/>
        <v>0</v>
      </c>
      <c r="J10" s="333">
        <f t="shared" si="0"/>
        <v>0</v>
      </c>
      <c r="K10" s="334">
        <f>SUM(C10:J10)</f>
        <v>25628650000</v>
      </c>
      <c r="L10" s="423"/>
    </row>
    <row r="11" spans="1:11" s="335" customFormat="1" ht="12.75" customHeight="1" thickBot="1">
      <c r="A11" s="346"/>
      <c r="B11" s="345"/>
      <c r="C11" s="332"/>
      <c r="D11" s="332"/>
      <c r="E11" s="332"/>
      <c r="F11" s="332"/>
      <c r="G11" s="332"/>
      <c r="H11" s="332"/>
      <c r="I11" s="332"/>
      <c r="J11" s="332"/>
      <c r="K11" s="332"/>
    </row>
    <row r="12" spans="1:11" s="335" customFormat="1" ht="45.75" customHeight="1" thickBot="1">
      <c r="A12" s="310"/>
      <c r="B12" s="310" t="s">
        <v>728</v>
      </c>
      <c r="C12" s="1879" t="s">
        <v>526</v>
      </c>
      <c r="D12" s="1880"/>
      <c r="E12" s="1880"/>
      <c r="F12" s="1880"/>
      <c r="G12" s="1880"/>
      <c r="H12" s="1880"/>
      <c r="I12" s="1880"/>
      <c r="J12" s="1880"/>
      <c r="K12" s="1877" t="s">
        <v>315</v>
      </c>
    </row>
    <row r="13" spans="1:11" ht="43.5" customHeight="1" thickBot="1">
      <c r="A13" s="312"/>
      <c r="B13" s="313"/>
      <c r="C13" s="455" t="s">
        <v>1061</v>
      </c>
      <c r="D13" s="414" t="s">
        <v>780</v>
      </c>
      <c r="E13" s="415" t="s">
        <v>781</v>
      </c>
      <c r="F13" s="414" t="s">
        <v>202</v>
      </c>
      <c r="G13" s="415" t="s">
        <v>364</v>
      </c>
      <c r="H13" s="414" t="s">
        <v>871</v>
      </c>
      <c r="I13" s="414" t="s">
        <v>1062</v>
      </c>
      <c r="J13" s="416" t="s">
        <v>1063</v>
      </c>
      <c r="K13" s="1878"/>
    </row>
    <row r="14" spans="1:11" s="335" customFormat="1" ht="34.5" customHeight="1" thickBot="1">
      <c r="A14" s="310">
        <v>10</v>
      </c>
      <c r="B14" s="331" t="s">
        <v>277</v>
      </c>
      <c r="C14" s="347">
        <f aca="true" t="shared" si="1" ref="C14:K14">SUM(C15:C21)</f>
        <v>0</v>
      </c>
      <c r="D14" s="347">
        <f t="shared" si="1"/>
        <v>0</v>
      </c>
      <c r="E14" s="347">
        <f t="shared" si="1"/>
        <v>0</v>
      </c>
      <c r="F14" s="347">
        <f t="shared" si="1"/>
        <v>0</v>
      </c>
      <c r="G14" s="347">
        <f t="shared" si="1"/>
        <v>0</v>
      </c>
      <c r="H14" s="347">
        <f t="shared" si="1"/>
        <v>0</v>
      </c>
      <c r="I14" s="347">
        <f t="shared" si="1"/>
        <v>0</v>
      </c>
      <c r="J14" s="347">
        <f t="shared" si="1"/>
        <v>0</v>
      </c>
      <c r="K14" s="347">
        <f t="shared" si="1"/>
        <v>0</v>
      </c>
    </row>
    <row r="15" spans="1:11" ht="12.75">
      <c r="A15" s="336">
        <v>11</v>
      </c>
      <c r="B15" s="424" t="s">
        <v>782</v>
      </c>
      <c r="C15" s="337"/>
      <c r="D15" s="338"/>
      <c r="E15" s="337"/>
      <c r="F15" s="338"/>
      <c r="G15" s="338"/>
      <c r="H15" s="338"/>
      <c r="I15" s="338"/>
      <c r="J15" s="338"/>
      <c r="K15" s="339">
        <f>SUM(C15:J15)</f>
        <v>0</v>
      </c>
    </row>
    <row r="16" spans="1:11" ht="12.75">
      <c r="A16" s="318">
        <v>12</v>
      </c>
      <c r="B16" s="319" t="s">
        <v>278</v>
      </c>
      <c r="C16" s="320"/>
      <c r="D16" s="321"/>
      <c r="E16" s="320"/>
      <c r="F16" s="321"/>
      <c r="G16" s="321"/>
      <c r="H16" s="321"/>
      <c r="I16" s="321"/>
      <c r="J16" s="321"/>
      <c r="K16" s="322"/>
    </row>
    <row r="17" spans="1:11" ht="12.75">
      <c r="A17" s="318">
        <v>13</v>
      </c>
      <c r="B17" s="355" t="s">
        <v>279</v>
      </c>
      <c r="C17" s="323"/>
      <c r="D17" s="324"/>
      <c r="E17" s="323"/>
      <c r="F17" s="324"/>
      <c r="G17" s="324"/>
      <c r="H17" s="324"/>
      <c r="I17" s="324"/>
      <c r="J17" s="324"/>
      <c r="K17" s="325">
        <f>SUM(C17:J17)</f>
        <v>0</v>
      </c>
    </row>
    <row r="18" spans="1:11" ht="12.75">
      <c r="A18" s="318">
        <v>14</v>
      </c>
      <c r="B18" s="319" t="s">
        <v>280</v>
      </c>
      <c r="C18" s="320"/>
      <c r="D18" s="321"/>
      <c r="E18" s="320"/>
      <c r="F18" s="321"/>
      <c r="G18" s="321"/>
      <c r="H18" s="321"/>
      <c r="I18" s="321"/>
      <c r="J18" s="321"/>
      <c r="K18" s="322"/>
    </row>
    <row r="19" spans="1:11" ht="12.75">
      <c r="A19" s="318">
        <v>15</v>
      </c>
      <c r="B19" s="319" t="s">
        <v>281</v>
      </c>
      <c r="C19" s="320"/>
      <c r="D19" s="321"/>
      <c r="E19" s="320"/>
      <c r="F19" s="321"/>
      <c r="G19" s="321"/>
      <c r="H19" s="321"/>
      <c r="I19" s="321"/>
      <c r="J19" s="321"/>
      <c r="K19" s="322"/>
    </row>
    <row r="20" spans="1:11" ht="12.75">
      <c r="A20" s="318">
        <v>16</v>
      </c>
      <c r="B20" s="319" t="s">
        <v>282</v>
      </c>
      <c r="C20" s="323"/>
      <c r="D20" s="324"/>
      <c r="E20" s="323"/>
      <c r="F20" s="324"/>
      <c r="G20" s="324"/>
      <c r="H20" s="324"/>
      <c r="I20" s="324"/>
      <c r="J20" s="324"/>
      <c r="K20" s="325"/>
    </row>
    <row r="21" spans="1:11" ht="13.5" thickBot="1">
      <c r="A21" s="326">
        <v>17</v>
      </c>
      <c r="B21" s="327" t="s">
        <v>283</v>
      </c>
      <c r="C21" s="340"/>
      <c r="D21" s="341"/>
      <c r="E21" s="340"/>
      <c r="F21" s="341"/>
      <c r="G21" s="341"/>
      <c r="H21" s="341"/>
      <c r="I21" s="341"/>
      <c r="J21" s="341"/>
      <c r="K21" s="342">
        <f>SUM(C21:J21)</f>
        <v>0</v>
      </c>
    </row>
    <row r="22" spans="1:11" s="335" customFormat="1" ht="38.25" customHeight="1" thickBot="1">
      <c r="A22" s="310">
        <v>18</v>
      </c>
      <c r="B22" s="331" t="s">
        <v>284</v>
      </c>
      <c r="C22" s="347">
        <f aca="true" t="shared" si="2" ref="C22:J22">SUM(C23:C29)</f>
        <v>112200000</v>
      </c>
      <c r="D22" s="347">
        <f t="shared" si="2"/>
        <v>112200000</v>
      </c>
      <c r="E22" s="347">
        <f t="shared" si="2"/>
        <v>112200000</v>
      </c>
      <c r="F22" s="347">
        <f t="shared" si="2"/>
        <v>112200000</v>
      </c>
      <c r="G22" s="347">
        <f t="shared" si="2"/>
        <v>112200000</v>
      </c>
      <c r="H22" s="347">
        <f t="shared" si="2"/>
        <v>0</v>
      </c>
      <c r="I22" s="347">
        <f t="shared" si="2"/>
        <v>0</v>
      </c>
      <c r="J22" s="347">
        <f t="shared" si="2"/>
        <v>0</v>
      </c>
      <c r="K22" s="347">
        <f>SUM(C22:J22)</f>
        <v>561000000</v>
      </c>
    </row>
    <row r="23" spans="1:12" ht="12.75">
      <c r="A23" s="336">
        <v>19</v>
      </c>
      <c r="B23" s="424" t="s">
        <v>782</v>
      </c>
      <c r="C23" s="349">
        <f>561000000/5</f>
        <v>112200000</v>
      </c>
      <c r="D23" s="349">
        <f>561000000/5</f>
        <v>112200000</v>
      </c>
      <c r="E23" s="349">
        <f>561000000/5</f>
        <v>112200000</v>
      </c>
      <c r="F23" s="349">
        <f>561000000/5</f>
        <v>112200000</v>
      </c>
      <c r="G23" s="349">
        <f>561000000/5</f>
        <v>112200000</v>
      </c>
      <c r="H23" s="349"/>
      <c r="I23" s="349"/>
      <c r="J23" s="349"/>
      <c r="K23" s="349">
        <f>SUM(C23:J23)</f>
        <v>561000000</v>
      </c>
      <c r="L23" s="422"/>
    </row>
    <row r="24" spans="1:11" ht="12.75">
      <c r="A24" s="318">
        <v>20</v>
      </c>
      <c r="B24" s="355" t="s">
        <v>278</v>
      </c>
      <c r="C24" s="348"/>
      <c r="D24" s="321"/>
      <c r="E24" s="320"/>
      <c r="F24" s="321"/>
      <c r="G24" s="321"/>
      <c r="H24" s="321"/>
      <c r="I24" s="321"/>
      <c r="J24" s="321"/>
      <c r="K24" s="321"/>
    </row>
    <row r="25" spans="1:11" ht="12.75">
      <c r="A25" s="318">
        <v>21</v>
      </c>
      <c r="B25" s="319" t="s">
        <v>279</v>
      </c>
      <c r="C25" s="320"/>
      <c r="D25" s="321"/>
      <c r="E25" s="320"/>
      <c r="F25" s="321"/>
      <c r="G25" s="321"/>
      <c r="H25" s="321"/>
      <c r="I25" s="321"/>
      <c r="J25" s="321"/>
      <c r="K25" s="322"/>
    </row>
    <row r="26" spans="1:11" ht="12.75">
      <c r="A26" s="318">
        <v>22</v>
      </c>
      <c r="B26" s="319" t="s">
        <v>280</v>
      </c>
      <c r="C26" s="320"/>
      <c r="D26" s="321"/>
      <c r="E26" s="320"/>
      <c r="F26" s="321"/>
      <c r="G26" s="321"/>
      <c r="H26" s="321"/>
      <c r="I26" s="321"/>
      <c r="J26" s="321"/>
      <c r="K26" s="322"/>
    </row>
    <row r="27" spans="1:11" ht="12.75">
      <c r="A27" s="318">
        <v>23</v>
      </c>
      <c r="B27" s="319" t="s">
        <v>281</v>
      </c>
      <c r="C27" s="320"/>
      <c r="D27" s="321"/>
      <c r="E27" s="320"/>
      <c r="F27" s="321"/>
      <c r="G27" s="321"/>
      <c r="H27" s="321"/>
      <c r="I27" s="321"/>
      <c r="J27" s="321"/>
      <c r="K27" s="322"/>
    </row>
    <row r="28" spans="1:11" ht="12.75">
      <c r="A28" s="318">
        <v>24</v>
      </c>
      <c r="B28" s="319" t="s">
        <v>282</v>
      </c>
      <c r="C28" s="320"/>
      <c r="D28" s="321"/>
      <c r="E28" s="320"/>
      <c r="F28" s="321"/>
      <c r="G28" s="321"/>
      <c r="H28" s="321"/>
      <c r="I28" s="321"/>
      <c r="J28" s="321"/>
      <c r="K28" s="322"/>
    </row>
    <row r="29" spans="1:11" ht="13.5" thickBot="1">
      <c r="A29" s="326">
        <v>25</v>
      </c>
      <c r="B29" s="327" t="s">
        <v>283</v>
      </c>
      <c r="C29" s="328"/>
      <c r="D29" s="329"/>
      <c r="E29" s="328"/>
      <c r="F29" s="329"/>
      <c r="G29" s="329"/>
      <c r="H29" s="329"/>
      <c r="I29" s="329"/>
      <c r="J29" s="329"/>
      <c r="K29" s="330"/>
    </row>
    <row r="30" spans="1:11" s="335" customFormat="1" ht="34.5" customHeight="1" thickBot="1">
      <c r="A30" s="310">
        <v>26</v>
      </c>
      <c r="B30" s="331" t="s">
        <v>285</v>
      </c>
      <c r="C30" s="347">
        <f aca="true" t="shared" si="3" ref="C30:K30">C14+C22</f>
        <v>112200000</v>
      </c>
      <c r="D30" s="347">
        <f t="shared" si="3"/>
        <v>112200000</v>
      </c>
      <c r="E30" s="347">
        <f t="shared" si="3"/>
        <v>112200000</v>
      </c>
      <c r="F30" s="347">
        <f t="shared" si="3"/>
        <v>112200000</v>
      </c>
      <c r="G30" s="347">
        <f t="shared" si="3"/>
        <v>112200000</v>
      </c>
      <c r="H30" s="347">
        <f t="shared" si="3"/>
        <v>0</v>
      </c>
      <c r="I30" s="347">
        <f t="shared" si="3"/>
        <v>0</v>
      </c>
      <c r="J30" s="347">
        <f t="shared" si="3"/>
        <v>0</v>
      </c>
      <c r="K30" s="347">
        <f t="shared" si="3"/>
        <v>561000000</v>
      </c>
    </row>
    <row r="31" ht="13.5" thickBot="1">
      <c r="B31" s="344"/>
    </row>
    <row r="32" spans="1:6" ht="27.75" customHeight="1" thickBot="1">
      <c r="A32" s="1881" t="s">
        <v>872</v>
      </c>
      <c r="B32" s="1882"/>
      <c r="C32" s="1882"/>
      <c r="D32" s="1882"/>
      <c r="E32" s="1883"/>
      <c r="F32" s="343"/>
    </row>
    <row r="33" spans="1:5" ht="19.5" customHeight="1" thickBot="1">
      <c r="A33" s="350" t="s">
        <v>332</v>
      </c>
      <c r="B33" s="350" t="s">
        <v>205</v>
      </c>
      <c r="C33" s="1890" t="s">
        <v>206</v>
      </c>
      <c r="D33" s="1891"/>
      <c r="E33" s="1892"/>
    </row>
    <row r="34" spans="1:5" ht="24.75" customHeight="1">
      <c r="A34" s="351" t="s">
        <v>207</v>
      </c>
      <c r="B34" s="353" t="s">
        <v>1017</v>
      </c>
      <c r="C34" s="1893">
        <v>561000000</v>
      </c>
      <c r="D34" s="1894"/>
      <c r="E34" s="1895"/>
    </row>
    <row r="35" spans="1:5" ht="19.5" customHeight="1" thickBot="1">
      <c r="A35" s="352"/>
      <c r="B35" s="354"/>
      <c r="C35" s="1887"/>
      <c r="D35" s="1888"/>
      <c r="E35" s="1889"/>
    </row>
    <row r="36" spans="1:5" ht="19.5" customHeight="1">
      <c r="A36" s="425"/>
      <c r="B36" s="426"/>
      <c r="C36" s="427"/>
      <c r="D36" s="427"/>
      <c r="E36" s="427"/>
    </row>
    <row r="37" spans="1:9" ht="24" customHeight="1">
      <c r="A37" s="1886"/>
      <c r="B37" s="1886"/>
      <c r="C37" s="1886"/>
      <c r="D37" s="1886"/>
      <c r="E37" s="1886"/>
      <c r="F37" s="1886"/>
      <c r="G37" s="1886"/>
      <c r="H37" s="1886"/>
      <c r="I37" s="1886"/>
    </row>
    <row r="38" spans="1:9" ht="12.75">
      <c r="A38" s="1885"/>
      <c r="B38" s="1885"/>
      <c r="C38" s="1885"/>
      <c r="D38" s="1885"/>
      <c r="E38" s="1885"/>
      <c r="F38" s="1885"/>
      <c r="G38" s="1885"/>
      <c r="H38" s="1885"/>
      <c r="I38" s="1885"/>
    </row>
    <row r="39" spans="1:9" ht="27.75" customHeight="1">
      <c r="A39" s="1884" t="s">
        <v>365</v>
      </c>
      <c r="B39" s="1884"/>
      <c r="C39" s="1884"/>
      <c r="D39" s="1884"/>
      <c r="E39" s="1884"/>
      <c r="F39" s="1884"/>
      <c r="G39" s="1884"/>
      <c r="H39" s="1884"/>
      <c r="I39" s="1884"/>
    </row>
    <row r="42" ht="12.75">
      <c r="A42" s="311"/>
    </row>
  </sheetData>
  <sheetProtection/>
  <mergeCells count="11">
    <mergeCell ref="C34:E34"/>
    <mergeCell ref="C1:J1"/>
    <mergeCell ref="K1:K2"/>
    <mergeCell ref="C12:J12"/>
    <mergeCell ref="K12:K13"/>
    <mergeCell ref="A32:E32"/>
    <mergeCell ref="A39:I39"/>
    <mergeCell ref="A38:I38"/>
    <mergeCell ref="A37:I37"/>
    <mergeCell ref="C35:E35"/>
    <mergeCell ref="C33:E33"/>
  </mergeCells>
  <printOptions horizontalCentered="1" verticalCentered="1"/>
  <pageMargins left="0.7874015748031497" right="0.7874015748031497" top="0.8661417322834646" bottom="0.7874015748031497" header="0.5118110236220472" footer="0.5118110236220472"/>
  <pageSetup fitToHeight="1" fitToWidth="1" horizontalDpi="600" verticalDpi="600" orientation="landscape" paperSize="9" scale="58" r:id="rId1"/>
  <headerFooter alignWithMargins="0">
    <oddHeader>&amp;CPesterzsébet Önkormányzat adósságot keletkeztető ügyleteiből eredő 
fizetési kötelezettségeinek bemutatása 
(Ft)&amp;R2.9. sz.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47">
    <pageSetUpPr fitToPage="1"/>
  </sheetPr>
  <dimension ref="A1:S33"/>
  <sheetViews>
    <sheetView workbookViewId="0" topLeftCell="A10">
      <selection activeCell="L11" sqref="L11"/>
    </sheetView>
  </sheetViews>
  <sheetFormatPr defaultColWidth="8.8515625" defaultRowHeight="12.75"/>
  <cols>
    <col min="1" max="1" width="8.8515625" style="170" customWidth="1"/>
    <col min="2" max="2" width="53.28125" style="169" customWidth="1"/>
    <col min="3" max="3" width="13.421875" style="169" bestFit="1" customWidth="1"/>
    <col min="4" max="6" width="11.421875" style="169" bestFit="1" customWidth="1"/>
    <col min="7" max="7" width="12.28125" style="169" bestFit="1" customWidth="1"/>
    <col min="8" max="9" width="11.421875" style="169" bestFit="1" customWidth="1"/>
    <col min="10" max="10" width="12.28125" style="169" bestFit="1" customWidth="1"/>
    <col min="11" max="12" width="11.421875" style="169" bestFit="1" customWidth="1"/>
    <col min="13" max="13" width="12.28125" style="169" bestFit="1" customWidth="1"/>
    <col min="14" max="14" width="11.421875" style="169" bestFit="1" customWidth="1"/>
    <col min="15" max="15" width="13.57421875" style="169" bestFit="1" customWidth="1"/>
    <col min="16" max="16" width="10.140625" style="169" customWidth="1"/>
    <col min="17" max="17" width="8.8515625" style="169" customWidth="1"/>
    <col min="18" max="18" width="12.7109375" style="169" bestFit="1" customWidth="1"/>
    <col min="19" max="19" width="9.421875" style="169" bestFit="1" customWidth="1"/>
    <col min="20" max="30" width="9.00390625" style="170" bestFit="1" customWidth="1"/>
    <col min="31" max="16384" width="8.8515625" style="170" customWidth="1"/>
  </cols>
  <sheetData>
    <row r="1" spans="1:16" ht="16.5" customHeight="1">
      <c r="A1" s="1901" t="s">
        <v>569</v>
      </c>
      <c r="B1" s="1896" t="s">
        <v>425</v>
      </c>
      <c r="C1" s="881" t="s">
        <v>779</v>
      </c>
      <c r="D1" s="881" t="s">
        <v>779</v>
      </c>
      <c r="E1" s="881" t="s">
        <v>779</v>
      </c>
      <c r="F1" s="881" t="s">
        <v>779</v>
      </c>
      <c r="G1" s="881" t="s">
        <v>779</v>
      </c>
      <c r="H1" s="881" t="s">
        <v>779</v>
      </c>
      <c r="I1" s="881" t="s">
        <v>779</v>
      </c>
      <c r="J1" s="881" t="s">
        <v>779</v>
      </c>
      <c r="K1" s="881" t="s">
        <v>779</v>
      </c>
      <c r="L1" s="881" t="s">
        <v>779</v>
      </c>
      <c r="M1" s="881" t="s">
        <v>779</v>
      </c>
      <c r="N1" s="881" t="s">
        <v>779</v>
      </c>
      <c r="O1" s="1651" t="s">
        <v>779</v>
      </c>
      <c r="P1" s="168"/>
    </row>
    <row r="2" spans="1:16" ht="13.5" thickBot="1">
      <c r="A2" s="1902"/>
      <c r="B2" s="1897"/>
      <c r="C2" s="882" t="s">
        <v>777</v>
      </c>
      <c r="D2" s="882" t="s">
        <v>42</v>
      </c>
      <c r="E2" s="882" t="s">
        <v>43</v>
      </c>
      <c r="F2" s="882" t="s">
        <v>700</v>
      </c>
      <c r="G2" s="882" t="s">
        <v>701</v>
      </c>
      <c r="H2" s="882" t="s">
        <v>702</v>
      </c>
      <c r="I2" s="882" t="s">
        <v>703</v>
      </c>
      <c r="J2" s="882" t="s">
        <v>748</v>
      </c>
      <c r="K2" s="882" t="s">
        <v>705</v>
      </c>
      <c r="L2" s="882" t="s">
        <v>706</v>
      </c>
      <c r="M2" s="882" t="s">
        <v>707</v>
      </c>
      <c r="N2" s="882" t="s">
        <v>708</v>
      </c>
      <c r="O2" s="883" t="s">
        <v>709</v>
      </c>
      <c r="P2" s="168"/>
    </row>
    <row r="3" spans="1:16" ht="24.75" customHeight="1">
      <c r="A3" s="548" t="s">
        <v>185</v>
      </c>
      <c r="B3" s="574" t="s">
        <v>186</v>
      </c>
      <c r="C3" s="626">
        <f aca="true" t="shared" si="0" ref="C3:C13">SUM(D3:O3)</f>
        <v>1829778710</v>
      </c>
      <c r="D3" s="357">
        <f>1829778710/12</f>
        <v>152481559</v>
      </c>
      <c r="E3" s="357">
        <f aca="true" t="shared" si="1" ref="E3:N3">1829778710/12</f>
        <v>152481559</v>
      </c>
      <c r="F3" s="357">
        <f t="shared" si="1"/>
        <v>152481559</v>
      </c>
      <c r="G3" s="357">
        <f t="shared" si="1"/>
        <v>152481559</v>
      </c>
      <c r="H3" s="357">
        <f t="shared" si="1"/>
        <v>152481559</v>
      </c>
      <c r="I3" s="357">
        <f t="shared" si="1"/>
        <v>152481559</v>
      </c>
      <c r="J3" s="357">
        <f t="shared" si="1"/>
        <v>152481559</v>
      </c>
      <c r="K3" s="357">
        <f t="shared" si="1"/>
        <v>152481559</v>
      </c>
      <c r="L3" s="357">
        <f t="shared" si="1"/>
        <v>152481559</v>
      </c>
      <c r="M3" s="357">
        <f t="shared" si="1"/>
        <v>152481559</v>
      </c>
      <c r="N3" s="357">
        <f t="shared" si="1"/>
        <v>152481559</v>
      </c>
      <c r="O3" s="358">
        <f>1829778710-SUM(D3:N3)</f>
        <v>152481561</v>
      </c>
      <c r="P3" s="171"/>
    </row>
    <row r="4" spans="1:16" ht="24.75" customHeight="1">
      <c r="A4" s="549" t="s">
        <v>187</v>
      </c>
      <c r="B4" s="575" t="s">
        <v>145</v>
      </c>
      <c r="C4" s="466">
        <f t="shared" si="0"/>
        <v>1019000000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>
        <v>19000000</v>
      </c>
      <c r="O4" s="360">
        <f>1019000000-SUM(D4:N4)</f>
        <v>1000000000</v>
      </c>
      <c r="P4" s="171"/>
    </row>
    <row r="5" spans="1:19" s="173" customFormat="1" ht="24.75" customHeight="1">
      <c r="A5" s="549" t="s">
        <v>193</v>
      </c>
      <c r="B5" s="575" t="s">
        <v>148</v>
      </c>
      <c r="C5" s="466">
        <f t="shared" si="0"/>
        <v>5042140979</v>
      </c>
      <c r="D5" s="362">
        <v>17727400</v>
      </c>
      <c r="E5" s="362">
        <v>17727400</v>
      </c>
      <c r="F5" s="362">
        <v>462500000</v>
      </c>
      <c r="G5" s="362">
        <f>3939866000/2</f>
        <v>1969933000</v>
      </c>
      <c r="H5" s="362">
        <v>17727400</v>
      </c>
      <c r="I5" s="362">
        <v>17727400</v>
      </c>
      <c r="J5" s="362">
        <v>17727400</v>
      </c>
      <c r="K5" s="362">
        <v>17727400</v>
      </c>
      <c r="L5" s="362">
        <v>462500000</v>
      </c>
      <c r="M5" s="362">
        <f>3939866000/2</f>
        <v>1969933000</v>
      </c>
      <c r="N5" s="362">
        <v>17727400</v>
      </c>
      <c r="O5" s="360">
        <f>5042140979-SUM(D5:N5)</f>
        <v>53183179</v>
      </c>
      <c r="P5" s="171"/>
      <c r="Q5" s="169"/>
      <c r="R5" s="172"/>
      <c r="S5" s="172"/>
    </row>
    <row r="6" spans="1:19" s="173" customFormat="1" ht="24.75" customHeight="1">
      <c r="A6" s="549" t="s">
        <v>469</v>
      </c>
      <c r="B6" s="575" t="s">
        <v>664</v>
      </c>
      <c r="C6" s="466">
        <f t="shared" si="0"/>
        <v>446458000</v>
      </c>
      <c r="D6" s="359">
        <f>446458000/12</f>
        <v>37204833</v>
      </c>
      <c r="E6" s="359">
        <f aca="true" t="shared" si="2" ref="E6:N6">446458000/12</f>
        <v>37204833</v>
      </c>
      <c r="F6" s="359">
        <f t="shared" si="2"/>
        <v>37204833</v>
      </c>
      <c r="G6" s="359">
        <f t="shared" si="2"/>
        <v>37204833</v>
      </c>
      <c r="H6" s="359">
        <f t="shared" si="2"/>
        <v>37204833</v>
      </c>
      <c r="I6" s="359">
        <f t="shared" si="2"/>
        <v>37204833</v>
      </c>
      <c r="J6" s="359">
        <f t="shared" si="2"/>
        <v>37204833</v>
      </c>
      <c r="K6" s="359">
        <f t="shared" si="2"/>
        <v>37204833</v>
      </c>
      <c r="L6" s="359">
        <f t="shared" si="2"/>
        <v>37204833</v>
      </c>
      <c r="M6" s="359">
        <f t="shared" si="2"/>
        <v>37204833</v>
      </c>
      <c r="N6" s="359">
        <f t="shared" si="2"/>
        <v>37204833</v>
      </c>
      <c r="O6" s="360">
        <f>446458000-SUM(D6:N6)</f>
        <v>37204837</v>
      </c>
      <c r="P6" s="171"/>
      <c r="Q6" s="169"/>
      <c r="R6" s="172"/>
      <c r="S6" s="172"/>
    </row>
    <row r="7" spans="1:16" ht="24.75" customHeight="1">
      <c r="A7" s="549" t="s">
        <v>486</v>
      </c>
      <c r="B7" s="575" t="s">
        <v>663</v>
      </c>
      <c r="C7" s="466">
        <f t="shared" si="0"/>
        <v>233700000</v>
      </c>
      <c r="D7" s="359">
        <v>725000</v>
      </c>
      <c r="E7" s="359">
        <f>63000000+162000000+725000</f>
        <v>225725000</v>
      </c>
      <c r="F7" s="359">
        <v>725000</v>
      </c>
      <c r="G7" s="359">
        <v>725000</v>
      </c>
      <c r="H7" s="359">
        <v>725000</v>
      </c>
      <c r="I7" s="359">
        <v>725000</v>
      </c>
      <c r="J7" s="359">
        <v>725000</v>
      </c>
      <c r="K7" s="359">
        <v>725000</v>
      </c>
      <c r="L7" s="359">
        <v>725000</v>
      </c>
      <c r="M7" s="359">
        <v>725000</v>
      </c>
      <c r="N7" s="359">
        <v>725000</v>
      </c>
      <c r="O7" s="360">
        <f>233700000-SUM(D7:N7)</f>
        <v>725000</v>
      </c>
      <c r="P7" s="171"/>
    </row>
    <row r="8" spans="1:16" ht="24.75" customHeight="1">
      <c r="A8" s="549" t="s">
        <v>471</v>
      </c>
      <c r="B8" s="575" t="s">
        <v>475</v>
      </c>
      <c r="C8" s="466">
        <f t="shared" si="0"/>
        <v>0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60"/>
      <c r="P8" s="171"/>
    </row>
    <row r="9" spans="1:16" ht="24.75" customHeight="1">
      <c r="A9" s="549" t="s">
        <v>473</v>
      </c>
      <c r="B9" s="575" t="s">
        <v>474</v>
      </c>
      <c r="C9" s="466">
        <f t="shared" si="0"/>
        <v>19400000</v>
      </c>
      <c r="D9" s="627">
        <f>19400000/12</f>
        <v>1616667</v>
      </c>
      <c r="E9" s="627">
        <f aca="true" t="shared" si="3" ref="E9:N9">19400000/12</f>
        <v>1616667</v>
      </c>
      <c r="F9" s="627">
        <f t="shared" si="3"/>
        <v>1616667</v>
      </c>
      <c r="G9" s="627">
        <f t="shared" si="3"/>
        <v>1616667</v>
      </c>
      <c r="H9" s="627">
        <f t="shared" si="3"/>
        <v>1616667</v>
      </c>
      <c r="I9" s="627">
        <f t="shared" si="3"/>
        <v>1616667</v>
      </c>
      <c r="J9" s="627">
        <f t="shared" si="3"/>
        <v>1616667</v>
      </c>
      <c r="K9" s="627">
        <f t="shared" si="3"/>
        <v>1616667</v>
      </c>
      <c r="L9" s="627">
        <f t="shared" si="3"/>
        <v>1616667</v>
      </c>
      <c r="M9" s="627">
        <f t="shared" si="3"/>
        <v>1616667</v>
      </c>
      <c r="N9" s="627">
        <f t="shared" si="3"/>
        <v>1616667</v>
      </c>
      <c r="O9" s="360">
        <f>19400000-SUM(D9:N9)</f>
        <v>1616663</v>
      </c>
      <c r="P9" s="171"/>
    </row>
    <row r="10" spans="1:16" ht="24.75" customHeight="1">
      <c r="A10" s="549" t="s">
        <v>476</v>
      </c>
      <c r="B10" s="628" t="s">
        <v>286</v>
      </c>
      <c r="C10" s="466">
        <f>SUM(C3:C9)</f>
        <v>8590477689</v>
      </c>
      <c r="D10" s="466">
        <f>SUM(D3:D9)</f>
        <v>209755459</v>
      </c>
      <c r="E10" s="466">
        <f aca="true" t="shared" si="4" ref="E10:N10">SUM(E3:E9)</f>
        <v>434755459</v>
      </c>
      <c r="F10" s="466">
        <f t="shared" si="4"/>
        <v>654528059</v>
      </c>
      <c r="G10" s="466">
        <f t="shared" si="4"/>
        <v>2161961059</v>
      </c>
      <c r="H10" s="466">
        <f t="shared" si="4"/>
        <v>209755459</v>
      </c>
      <c r="I10" s="466">
        <f t="shared" si="4"/>
        <v>209755459</v>
      </c>
      <c r="J10" s="466">
        <f t="shared" si="4"/>
        <v>209755459</v>
      </c>
      <c r="K10" s="466">
        <f t="shared" si="4"/>
        <v>209755459</v>
      </c>
      <c r="L10" s="466">
        <f t="shared" si="4"/>
        <v>654528059</v>
      </c>
      <c r="M10" s="466">
        <f t="shared" si="4"/>
        <v>2161961059</v>
      </c>
      <c r="N10" s="466">
        <f t="shared" si="4"/>
        <v>228755459</v>
      </c>
      <c r="O10" s="361">
        <f>8590477689-SUM(D10:N10)</f>
        <v>1245211240</v>
      </c>
      <c r="P10" s="171"/>
    </row>
    <row r="11" spans="1:16" ht="24.75" customHeight="1">
      <c r="A11" s="549" t="s">
        <v>477</v>
      </c>
      <c r="B11" s="575" t="s">
        <v>478</v>
      </c>
      <c r="C11" s="466">
        <f>SUM(C12:C13)</f>
        <v>1861000000</v>
      </c>
      <c r="D11" s="466">
        <f aca="true" t="shared" si="5" ref="D11:O11">SUM(D12:D13)</f>
        <v>421968360</v>
      </c>
      <c r="E11" s="466">
        <f t="shared" si="5"/>
        <v>208971926</v>
      </c>
      <c r="F11" s="466">
        <f t="shared" si="5"/>
        <v>41634562</v>
      </c>
      <c r="G11" s="466">
        <f t="shared" si="5"/>
        <v>1344371554</v>
      </c>
      <c r="H11" s="466">
        <f t="shared" si="5"/>
        <v>550557285</v>
      </c>
      <c r="I11" s="466">
        <f t="shared" si="5"/>
        <v>513445739</v>
      </c>
      <c r="J11" s="466">
        <f t="shared" si="5"/>
        <v>1128887812</v>
      </c>
      <c r="K11" s="466">
        <f t="shared" si="5"/>
        <v>538857045</v>
      </c>
      <c r="L11" s="466">
        <f t="shared" si="5"/>
        <v>138646685</v>
      </c>
      <c r="M11" s="466">
        <f t="shared" si="5"/>
        <v>1360486315</v>
      </c>
      <c r="N11" s="466">
        <f t="shared" si="5"/>
        <v>558284046</v>
      </c>
      <c r="O11" s="361">
        <f t="shared" si="5"/>
        <v>-4945111329</v>
      </c>
      <c r="P11" s="171"/>
    </row>
    <row r="12" spans="1:16" ht="24.75" customHeight="1">
      <c r="A12" s="549"/>
      <c r="B12" s="575" t="s">
        <v>482</v>
      </c>
      <c r="C12" s="466">
        <f t="shared" si="0"/>
        <v>1300000000</v>
      </c>
      <c r="D12" s="359">
        <f>+(D10-D33)*-1</f>
        <v>421968360</v>
      </c>
      <c r="E12" s="359">
        <f aca="true" t="shared" si="6" ref="E12:N12">+(E10-E33)*-1</f>
        <v>208971926</v>
      </c>
      <c r="F12" s="359">
        <f t="shared" si="6"/>
        <v>41634562</v>
      </c>
      <c r="G12" s="359">
        <f>+(G10-G33)</f>
        <v>1344371554</v>
      </c>
      <c r="H12" s="359">
        <f t="shared" si="6"/>
        <v>550557285</v>
      </c>
      <c r="I12" s="359">
        <f t="shared" si="6"/>
        <v>513445739</v>
      </c>
      <c r="J12" s="359">
        <f t="shared" si="6"/>
        <v>567887812</v>
      </c>
      <c r="K12" s="359">
        <f t="shared" si="6"/>
        <v>538857045</v>
      </c>
      <c r="L12" s="359">
        <f t="shared" si="6"/>
        <v>138646685</v>
      </c>
      <c r="M12" s="359">
        <f>+(M10-M33)</f>
        <v>1360486315</v>
      </c>
      <c r="N12" s="359">
        <f t="shared" si="6"/>
        <v>558284046</v>
      </c>
      <c r="O12" s="360">
        <f>1300000000-SUM(D12:N12)</f>
        <v>-4945111329</v>
      </c>
      <c r="P12" s="171"/>
    </row>
    <row r="13" spans="1:16" ht="24.75" customHeight="1" thickBot="1">
      <c r="A13" s="549"/>
      <c r="B13" s="575" t="s">
        <v>1076</v>
      </c>
      <c r="C13" s="466">
        <f t="shared" si="0"/>
        <v>561000000</v>
      </c>
      <c r="D13" s="359"/>
      <c r="E13" s="359"/>
      <c r="F13" s="359"/>
      <c r="G13" s="359"/>
      <c r="H13" s="359"/>
      <c r="I13" s="359"/>
      <c r="J13" s="359">
        <v>561000000</v>
      </c>
      <c r="K13" s="359"/>
      <c r="L13" s="359"/>
      <c r="M13" s="359"/>
      <c r="N13" s="359"/>
      <c r="O13" s="360">
        <f>561000000-SUM(D13:N13)</f>
        <v>0</v>
      </c>
      <c r="P13" s="171"/>
    </row>
    <row r="14" spans="1:16" ht="24.75" customHeight="1" thickBot="1">
      <c r="A14" s="630"/>
      <c r="B14" s="884" t="s">
        <v>412</v>
      </c>
      <c r="C14" s="174">
        <f aca="true" t="shared" si="7" ref="C14:O14">SUM(C10:C11)</f>
        <v>10451477689</v>
      </c>
      <c r="D14" s="174">
        <f t="shared" si="7"/>
        <v>631723819</v>
      </c>
      <c r="E14" s="174">
        <f t="shared" si="7"/>
        <v>643727385</v>
      </c>
      <c r="F14" s="174">
        <f t="shared" si="7"/>
        <v>696162621</v>
      </c>
      <c r="G14" s="174">
        <f t="shared" si="7"/>
        <v>3506332613</v>
      </c>
      <c r="H14" s="174">
        <f t="shared" si="7"/>
        <v>760312744</v>
      </c>
      <c r="I14" s="174">
        <f t="shared" si="7"/>
        <v>723201198</v>
      </c>
      <c r="J14" s="174">
        <f t="shared" si="7"/>
        <v>1338643271</v>
      </c>
      <c r="K14" s="174">
        <f t="shared" si="7"/>
        <v>748612504</v>
      </c>
      <c r="L14" s="174">
        <f t="shared" si="7"/>
        <v>793174744</v>
      </c>
      <c r="M14" s="174">
        <f t="shared" si="7"/>
        <v>3522447374</v>
      </c>
      <c r="N14" s="174">
        <f t="shared" si="7"/>
        <v>787039505</v>
      </c>
      <c r="O14" s="759">
        <f t="shared" si="7"/>
        <v>-3699900089</v>
      </c>
      <c r="P14" s="171"/>
    </row>
    <row r="15" spans="2:16" ht="12.75">
      <c r="B15" s="1898"/>
      <c r="C15" s="1898"/>
      <c r="D15" s="1898"/>
      <c r="E15" s="1898"/>
      <c r="F15" s="1898"/>
      <c r="G15" s="1898"/>
      <c r="H15" s="1898"/>
      <c r="I15" s="1898"/>
      <c r="J15" s="1898"/>
      <c r="K15" s="1898"/>
      <c r="L15" s="1898"/>
      <c r="M15" s="1898"/>
      <c r="N15" s="1898"/>
      <c r="O15" s="1898"/>
      <c r="P15" s="171"/>
    </row>
    <row r="16" spans="2:16" ht="13.5" thickBot="1">
      <c r="B16" s="1898"/>
      <c r="C16" s="1898"/>
      <c r="D16" s="1898"/>
      <c r="E16" s="1898"/>
      <c r="F16" s="1898"/>
      <c r="G16" s="1898"/>
      <c r="H16" s="1898"/>
      <c r="I16" s="1898"/>
      <c r="J16" s="1898"/>
      <c r="K16" s="1898"/>
      <c r="L16" s="1898"/>
      <c r="M16" s="1898"/>
      <c r="N16" s="1898"/>
      <c r="O16" s="1898"/>
      <c r="P16" s="171"/>
    </row>
    <row r="17" spans="1:16" ht="15" customHeight="1">
      <c r="A17" s="1901" t="s">
        <v>569</v>
      </c>
      <c r="B17" s="1899" t="s">
        <v>427</v>
      </c>
      <c r="C17" s="881" t="s">
        <v>779</v>
      </c>
      <c r="D17" s="881" t="s">
        <v>779</v>
      </c>
      <c r="E17" s="881" t="s">
        <v>779</v>
      </c>
      <c r="F17" s="881" t="s">
        <v>779</v>
      </c>
      <c r="G17" s="881" t="s">
        <v>779</v>
      </c>
      <c r="H17" s="881" t="s">
        <v>779</v>
      </c>
      <c r="I17" s="881" t="s">
        <v>779</v>
      </c>
      <c r="J17" s="881" t="s">
        <v>779</v>
      </c>
      <c r="K17" s="881" t="s">
        <v>779</v>
      </c>
      <c r="L17" s="881" t="s">
        <v>779</v>
      </c>
      <c r="M17" s="881" t="s">
        <v>779</v>
      </c>
      <c r="N17" s="881" t="s">
        <v>779</v>
      </c>
      <c r="O17" s="1651" t="s">
        <v>779</v>
      </c>
      <c r="P17" s="171"/>
    </row>
    <row r="18" spans="1:16" ht="13.5" thickBot="1">
      <c r="A18" s="1903"/>
      <c r="B18" s="1900"/>
      <c r="C18" s="882" t="s">
        <v>777</v>
      </c>
      <c r="D18" s="882" t="s">
        <v>42</v>
      </c>
      <c r="E18" s="882" t="s">
        <v>43</v>
      </c>
      <c r="F18" s="882" t="s">
        <v>700</v>
      </c>
      <c r="G18" s="882" t="s">
        <v>701</v>
      </c>
      <c r="H18" s="882" t="s">
        <v>702</v>
      </c>
      <c r="I18" s="882" t="s">
        <v>703</v>
      </c>
      <c r="J18" s="882" t="s">
        <v>748</v>
      </c>
      <c r="K18" s="882" t="s">
        <v>705</v>
      </c>
      <c r="L18" s="882" t="s">
        <v>706</v>
      </c>
      <c r="M18" s="882" t="s">
        <v>707</v>
      </c>
      <c r="N18" s="882" t="s">
        <v>708</v>
      </c>
      <c r="O18" s="883" t="s">
        <v>709</v>
      </c>
      <c r="P18" s="171"/>
    </row>
    <row r="19" spans="1:16" ht="24.75" customHeight="1">
      <c r="A19" s="548" t="s">
        <v>104</v>
      </c>
      <c r="B19" s="574" t="s">
        <v>105</v>
      </c>
      <c r="C19" s="689">
        <f aca="true" t="shared" si="8" ref="C19:C30">SUM(D19:O19)</f>
        <v>183223841</v>
      </c>
      <c r="D19" s="626">
        <f>703500+12588+67018+2463301+14998100</f>
        <v>18244507</v>
      </c>
      <c r="E19" s="626">
        <v>14998100</v>
      </c>
      <c r="F19" s="626">
        <v>14998100</v>
      </c>
      <c r="G19" s="626">
        <v>14998100</v>
      </c>
      <c r="H19" s="626">
        <v>14998100</v>
      </c>
      <c r="I19" s="626">
        <v>14998100</v>
      </c>
      <c r="J19" s="626">
        <v>14998100</v>
      </c>
      <c r="K19" s="626">
        <v>14998100</v>
      </c>
      <c r="L19" s="626">
        <v>14998100</v>
      </c>
      <c r="M19" s="626">
        <v>14998100</v>
      </c>
      <c r="N19" s="626">
        <v>14998100</v>
      </c>
      <c r="O19" s="436">
        <f>'2.3.Kiad.'!G3-SUM(D19:N19)</f>
        <v>14998334</v>
      </c>
      <c r="P19" s="171"/>
    </row>
    <row r="20" spans="1:16" ht="24.75" customHeight="1">
      <c r="A20" s="549" t="s">
        <v>106</v>
      </c>
      <c r="B20" s="481" t="s">
        <v>107</v>
      </c>
      <c r="C20" s="465">
        <f t="shared" si="8"/>
        <v>48203470</v>
      </c>
      <c r="D20" s="466">
        <f>864686+798197+439700+3841700</f>
        <v>5944283</v>
      </c>
      <c r="E20" s="466">
        <v>3841700</v>
      </c>
      <c r="F20" s="466">
        <v>3841700</v>
      </c>
      <c r="G20" s="466">
        <v>3841700</v>
      </c>
      <c r="H20" s="466">
        <v>3841700</v>
      </c>
      <c r="I20" s="466">
        <v>3841700</v>
      </c>
      <c r="J20" s="466">
        <v>3841700</v>
      </c>
      <c r="K20" s="466">
        <v>3841700</v>
      </c>
      <c r="L20" s="466">
        <v>3841700</v>
      </c>
      <c r="M20" s="466">
        <v>3841700</v>
      </c>
      <c r="N20" s="466">
        <v>3841700</v>
      </c>
      <c r="O20" s="361">
        <f>'2.3.Kiad.'!G4-SUM(D20:N20)</f>
        <v>3842187</v>
      </c>
      <c r="P20" s="171"/>
    </row>
    <row r="21" spans="1:16" ht="24.75" customHeight="1">
      <c r="A21" s="549" t="s">
        <v>108</v>
      </c>
      <c r="B21" s="575" t="s">
        <v>109</v>
      </c>
      <c r="C21" s="465">
        <f t="shared" si="8"/>
        <v>1432757862</v>
      </c>
      <c r="D21" s="466">
        <f>1446092862/12</f>
        <v>120507739</v>
      </c>
      <c r="E21" s="466">
        <f aca="true" t="shared" si="9" ref="E21:N21">1446092862/12</f>
        <v>120507739</v>
      </c>
      <c r="F21" s="466">
        <f t="shared" si="9"/>
        <v>120507739</v>
      </c>
      <c r="G21" s="466">
        <f t="shared" si="9"/>
        <v>120507739</v>
      </c>
      <c r="H21" s="466">
        <f t="shared" si="9"/>
        <v>120507739</v>
      </c>
      <c r="I21" s="466">
        <f t="shared" si="9"/>
        <v>120507739</v>
      </c>
      <c r="J21" s="466">
        <f t="shared" si="9"/>
        <v>120507739</v>
      </c>
      <c r="K21" s="466">
        <f t="shared" si="9"/>
        <v>120507739</v>
      </c>
      <c r="L21" s="466">
        <f t="shared" si="9"/>
        <v>120507739</v>
      </c>
      <c r="M21" s="466">
        <f t="shared" si="9"/>
        <v>120507739</v>
      </c>
      <c r="N21" s="466">
        <f t="shared" si="9"/>
        <v>120507739</v>
      </c>
      <c r="O21" s="361">
        <f>'2.3.Kiad.'!G5-SUM(D21:N21)</f>
        <v>107172733</v>
      </c>
      <c r="P21" s="171"/>
    </row>
    <row r="22" spans="1:16" ht="24.75" customHeight="1">
      <c r="A22" s="549" t="s">
        <v>110</v>
      </c>
      <c r="B22" s="575" t="s">
        <v>111</v>
      </c>
      <c r="C22" s="465">
        <f>SUM(D22:O22)</f>
        <v>102190000</v>
      </c>
      <c r="D22" s="363">
        <f>102190000/12</f>
        <v>8515833</v>
      </c>
      <c r="E22" s="363">
        <f aca="true" t="shared" si="10" ref="E22:N22">102190000/12</f>
        <v>8515833</v>
      </c>
      <c r="F22" s="363">
        <f t="shared" si="10"/>
        <v>8515833</v>
      </c>
      <c r="G22" s="363">
        <f t="shared" si="10"/>
        <v>8515833</v>
      </c>
      <c r="H22" s="363">
        <f t="shared" si="10"/>
        <v>8515833</v>
      </c>
      <c r="I22" s="363">
        <f t="shared" si="10"/>
        <v>8515833</v>
      </c>
      <c r="J22" s="363">
        <f t="shared" si="10"/>
        <v>8515833</v>
      </c>
      <c r="K22" s="363">
        <f t="shared" si="10"/>
        <v>8515833</v>
      </c>
      <c r="L22" s="363">
        <f t="shared" si="10"/>
        <v>8515833</v>
      </c>
      <c r="M22" s="363">
        <f t="shared" si="10"/>
        <v>8515833</v>
      </c>
      <c r="N22" s="363">
        <f t="shared" si="10"/>
        <v>8515833</v>
      </c>
      <c r="O22" s="361">
        <f>'2.3.Kiad.'!G6-SUM(D22:N22)</f>
        <v>8515837</v>
      </c>
      <c r="P22" s="171"/>
    </row>
    <row r="23" spans="1:16" ht="24.75" customHeight="1">
      <c r="A23" s="549" t="s">
        <v>112</v>
      </c>
      <c r="B23" s="575" t="s">
        <v>113</v>
      </c>
      <c r="C23" s="465">
        <f>SUM(D23:O23)</f>
        <v>900209253</v>
      </c>
      <c r="D23" s="466"/>
      <c r="E23" s="466"/>
      <c r="F23" s="466">
        <v>2000000</v>
      </c>
      <c r="G23" s="466">
        <f>9800000+300000+1500000+55000000</f>
        <v>66600000</v>
      </c>
      <c r="H23" s="466">
        <f>15000000+7000000</f>
        <v>22000000</v>
      </c>
      <c r="I23" s="466">
        <v>20000000</v>
      </c>
      <c r="J23" s="466">
        <v>80000000</v>
      </c>
      <c r="K23" s="466">
        <v>80000000</v>
      </c>
      <c r="L23" s="466">
        <v>80000000</v>
      </c>
      <c r="M23" s="466">
        <v>80000000</v>
      </c>
      <c r="N23" s="466">
        <v>80000000</v>
      </c>
      <c r="O23" s="361">
        <f>'2.3.Kiad.'!G8-SUM(D23:N23)</f>
        <v>389609253</v>
      </c>
      <c r="P23" s="171"/>
    </row>
    <row r="24" spans="1:16" ht="24.75" customHeight="1">
      <c r="A24" s="549" t="s">
        <v>548</v>
      </c>
      <c r="B24" s="575" t="s">
        <v>121</v>
      </c>
      <c r="C24" s="465">
        <f>SUM(D24:O24)</f>
        <v>2139963962</v>
      </c>
      <c r="D24" s="466">
        <v>20000000</v>
      </c>
      <c r="E24" s="363">
        <v>50000000</v>
      </c>
      <c r="F24" s="363">
        <v>100000000</v>
      </c>
      <c r="G24" s="363">
        <v>100000000</v>
      </c>
      <c r="H24" s="363">
        <v>100000000</v>
      </c>
      <c r="I24" s="363">
        <v>100000000</v>
      </c>
      <c r="J24" s="363">
        <v>100000000</v>
      </c>
      <c r="K24" s="363">
        <v>100000000</v>
      </c>
      <c r="L24" s="363">
        <v>100000000</v>
      </c>
      <c r="M24" s="363">
        <v>100000000</v>
      </c>
      <c r="N24" s="363">
        <v>100000000</v>
      </c>
      <c r="O24" s="361">
        <f>'2.7.Beruh'!G84-SUM(D24:N24)</f>
        <v>1169963962</v>
      </c>
      <c r="P24" s="171"/>
    </row>
    <row r="25" spans="1:16" ht="24.75" customHeight="1">
      <c r="A25" s="549" t="s">
        <v>122</v>
      </c>
      <c r="B25" s="575" t="s">
        <v>123</v>
      </c>
      <c r="C25" s="465">
        <f t="shared" si="8"/>
        <v>245024239</v>
      </c>
      <c r="D25" s="363"/>
      <c r="E25" s="363">
        <f>245024239/11</f>
        <v>22274931</v>
      </c>
      <c r="F25" s="363">
        <f aca="true" t="shared" si="11" ref="F25:N25">245024239/11</f>
        <v>22274931</v>
      </c>
      <c r="G25" s="363">
        <f t="shared" si="11"/>
        <v>22274931</v>
      </c>
      <c r="H25" s="363">
        <f t="shared" si="11"/>
        <v>22274931</v>
      </c>
      <c r="I25" s="363">
        <f t="shared" si="11"/>
        <v>22274931</v>
      </c>
      <c r="J25" s="363">
        <f t="shared" si="11"/>
        <v>22274931</v>
      </c>
      <c r="K25" s="363">
        <f t="shared" si="11"/>
        <v>22274931</v>
      </c>
      <c r="L25" s="363">
        <f t="shared" si="11"/>
        <v>22274931</v>
      </c>
      <c r="M25" s="363">
        <f t="shared" si="11"/>
        <v>22274931</v>
      </c>
      <c r="N25" s="363">
        <f t="shared" si="11"/>
        <v>22274931</v>
      </c>
      <c r="O25" s="361">
        <f>'2.8.Felúj.'!G39-SUM(D25:N25)</f>
        <v>22274929</v>
      </c>
      <c r="P25" s="171"/>
    </row>
    <row r="26" spans="1:16" ht="24.75" customHeight="1">
      <c r="A26" s="549" t="s">
        <v>124</v>
      </c>
      <c r="B26" s="575" t="s">
        <v>125</v>
      </c>
      <c r="C26" s="465">
        <f t="shared" si="8"/>
        <v>35782061</v>
      </c>
      <c r="D26" s="363">
        <v>2000000</v>
      </c>
      <c r="E26" s="363">
        <v>2000000</v>
      </c>
      <c r="F26" s="363">
        <v>2850000</v>
      </c>
      <c r="G26" s="363">
        <f>2000000+1300000+4000000+2300000+2000000</f>
        <v>11600000</v>
      </c>
      <c r="H26" s="363">
        <v>2000000</v>
      </c>
      <c r="I26" s="363">
        <v>2000000</v>
      </c>
      <c r="J26" s="363">
        <v>2000000</v>
      </c>
      <c r="K26" s="363">
        <v>2000000</v>
      </c>
      <c r="L26" s="363">
        <v>2000000</v>
      </c>
      <c r="M26" s="363">
        <v>2000000</v>
      </c>
      <c r="N26" s="363">
        <v>2000000</v>
      </c>
      <c r="O26" s="361">
        <f>'2.3.Kiad.'!G20-SUM(D26:N26)</f>
        <v>3332061</v>
      </c>
      <c r="P26" s="171"/>
    </row>
    <row r="27" spans="1:16" ht="24.75" customHeight="1">
      <c r="A27" s="568" t="s">
        <v>138</v>
      </c>
      <c r="B27" s="1046" t="s">
        <v>139</v>
      </c>
      <c r="C27" s="491">
        <f>SUM(C19:C26)</f>
        <v>5087354688</v>
      </c>
      <c r="D27" s="1047">
        <f>SUM(D19:D26)</f>
        <v>175212362</v>
      </c>
      <c r="E27" s="1047">
        <f aca="true" t="shared" si="12" ref="E27:N27">SUM(E19:E26)</f>
        <v>222138303</v>
      </c>
      <c r="F27" s="1047">
        <f t="shared" si="12"/>
        <v>274988303</v>
      </c>
      <c r="G27" s="1047">
        <f t="shared" si="12"/>
        <v>348338303</v>
      </c>
      <c r="H27" s="1047">
        <f t="shared" si="12"/>
        <v>294138303</v>
      </c>
      <c r="I27" s="1047">
        <f t="shared" si="12"/>
        <v>292138303</v>
      </c>
      <c r="J27" s="1047">
        <f t="shared" si="12"/>
        <v>352138303</v>
      </c>
      <c r="K27" s="1047">
        <f t="shared" si="12"/>
        <v>352138303</v>
      </c>
      <c r="L27" s="1047">
        <f t="shared" si="12"/>
        <v>352138303</v>
      </c>
      <c r="M27" s="1047">
        <f t="shared" si="12"/>
        <v>352138303</v>
      </c>
      <c r="N27" s="1047">
        <f t="shared" si="12"/>
        <v>352138303</v>
      </c>
      <c r="O27" s="1048">
        <f>11018490599-SUM(D27:N27)</f>
        <v>7650845207</v>
      </c>
      <c r="P27" s="171"/>
    </row>
    <row r="28" spans="1:16" ht="24.75" customHeight="1">
      <c r="A28" s="568" t="s">
        <v>129</v>
      </c>
      <c r="B28" s="1049" t="s">
        <v>130</v>
      </c>
      <c r="C28" s="491">
        <f>SUM(C29:C32)</f>
        <v>5364123001</v>
      </c>
      <c r="D28" s="491">
        <f aca="true" t="shared" si="13" ref="D28:N28">SUM(D29:D32)</f>
        <v>456511457</v>
      </c>
      <c r="E28" s="491">
        <f t="shared" si="13"/>
        <v>421589082</v>
      </c>
      <c r="F28" s="491">
        <f t="shared" si="13"/>
        <v>421174318</v>
      </c>
      <c r="G28" s="491">
        <f t="shared" si="13"/>
        <v>469251202</v>
      </c>
      <c r="H28" s="491">
        <f t="shared" si="13"/>
        <v>466174441</v>
      </c>
      <c r="I28" s="491">
        <f t="shared" si="13"/>
        <v>431062895</v>
      </c>
      <c r="J28" s="491">
        <f t="shared" si="13"/>
        <v>425504968</v>
      </c>
      <c r="K28" s="491">
        <f t="shared" si="13"/>
        <v>396474201</v>
      </c>
      <c r="L28" s="491">
        <f t="shared" si="13"/>
        <v>441036441</v>
      </c>
      <c r="M28" s="491">
        <f t="shared" si="13"/>
        <v>449336441</v>
      </c>
      <c r="N28" s="491">
        <f t="shared" si="13"/>
        <v>434901202</v>
      </c>
      <c r="O28" s="1698">
        <f>11018490599-SUM(D28:N28)</f>
        <v>6205473951</v>
      </c>
      <c r="P28" s="171"/>
    </row>
    <row r="29" spans="1:16" ht="24.75" customHeight="1">
      <c r="A29" s="549"/>
      <c r="B29" s="575" t="s">
        <v>992</v>
      </c>
      <c r="C29" s="491">
        <f t="shared" si="8"/>
        <v>55528296</v>
      </c>
      <c r="D29" s="363">
        <v>55528296</v>
      </c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758">
        <f>55528296-SUM(D29:N29)</f>
        <v>0</v>
      </c>
      <c r="P29" s="171"/>
    </row>
    <row r="30" spans="1:16" ht="24.75" customHeight="1">
      <c r="A30" s="549"/>
      <c r="B30" s="575" t="s">
        <v>1176</v>
      </c>
      <c r="C30" s="491">
        <f t="shared" si="8"/>
        <v>112200000</v>
      </c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758">
        <f>112200000-SUM(D30:N30)</f>
        <v>112200000</v>
      </c>
      <c r="P30" s="171"/>
    </row>
    <row r="31" spans="1:16" ht="24.75" customHeight="1">
      <c r="A31" s="885"/>
      <c r="B31" s="886" t="s">
        <v>405</v>
      </c>
      <c r="C31" s="465">
        <f>SUM(D31:O31)</f>
        <v>3645538459</v>
      </c>
      <c r="D31" s="359">
        <f>+'4.23. Előir.felh. '!D11-36615561</f>
        <v>266575778</v>
      </c>
      <c r="E31" s="359">
        <f>+'4.23. Előir.felh. '!E11</f>
        <v>304457284</v>
      </c>
      <c r="F31" s="359">
        <f>+'4.23. Előir.felh. '!F11</f>
        <v>301942520</v>
      </c>
      <c r="G31" s="359">
        <f>+'4.23. Előir.felh. '!G11</f>
        <v>327119404</v>
      </c>
      <c r="H31" s="359">
        <f>+'4.23. Előir.felh. '!H11</f>
        <v>324042643</v>
      </c>
      <c r="I31" s="359">
        <f>+'4.23. Előir.felh. '!I11</f>
        <v>288931097</v>
      </c>
      <c r="J31" s="359">
        <f>+'4.23. Előir.felh. '!J11</f>
        <v>287373170</v>
      </c>
      <c r="K31" s="359">
        <f>+'4.23. Előir.felh. '!K11</f>
        <v>268842403</v>
      </c>
      <c r="L31" s="359">
        <f>+'4.23. Előir.felh. '!L11</f>
        <v>313404643</v>
      </c>
      <c r="M31" s="359">
        <f>+'4.23. Előir.felh. '!M11</f>
        <v>321704643</v>
      </c>
      <c r="N31" s="359">
        <f>+'4.23. Előir.felh. '!N11</f>
        <v>315669404</v>
      </c>
      <c r="O31" s="360">
        <f>'4. iNT ÖSSZESÍTŐ'!G16-SUM(D31:N31)</f>
        <v>325475470</v>
      </c>
      <c r="P31" s="171"/>
    </row>
    <row r="32" spans="1:16" ht="24.75" customHeight="1" thickBot="1">
      <c r="A32" s="887"/>
      <c r="B32" s="888" t="s">
        <v>404</v>
      </c>
      <c r="C32" s="558">
        <f>SUM(D32:O32)</f>
        <v>1550856246</v>
      </c>
      <c r="D32" s="875">
        <f>+'3.7. Előir.felh. POHI'!D11</f>
        <v>134407383</v>
      </c>
      <c r="E32" s="875">
        <f>+'3.7. Előir.felh. POHI'!E11</f>
        <v>117131798</v>
      </c>
      <c r="F32" s="875">
        <f>+'3.7. Előir.felh. POHI'!F11</f>
        <v>119231798</v>
      </c>
      <c r="G32" s="875">
        <f>+'3.7. Előir.felh. POHI'!G11</f>
        <v>142131798</v>
      </c>
      <c r="H32" s="875">
        <f>+'3.7. Előir.felh. POHI'!H11</f>
        <v>142131798</v>
      </c>
      <c r="I32" s="875">
        <f>+'3.7. Előir.felh. POHI'!I11</f>
        <v>142131798</v>
      </c>
      <c r="J32" s="875">
        <f>+'3.7. Előir.felh. POHI'!J11</f>
        <v>138131798</v>
      </c>
      <c r="K32" s="875">
        <f>+'3.7. Előir.felh. POHI'!K11</f>
        <v>127631798</v>
      </c>
      <c r="L32" s="875">
        <f>+'3.7. Előir.felh. POHI'!L11</f>
        <v>127631798</v>
      </c>
      <c r="M32" s="875">
        <f>+'3.7. Előir.felh. POHI'!M11</f>
        <v>127631798</v>
      </c>
      <c r="N32" s="875">
        <f>+'3.7. Előir.felh. POHI'!N11</f>
        <v>119231798</v>
      </c>
      <c r="O32" s="889">
        <f>'3.1.Bevétel POHI'!G20-SUM(D32:N32)</f>
        <v>113430883</v>
      </c>
      <c r="P32" s="171"/>
    </row>
    <row r="33" spans="1:16" ht="24.75" customHeight="1" thickBot="1">
      <c r="A33" s="630"/>
      <c r="B33" s="884" t="s">
        <v>77</v>
      </c>
      <c r="C33" s="174">
        <f>C27+C28</f>
        <v>10451477689</v>
      </c>
      <c r="D33" s="174">
        <f aca="true" t="shared" si="14" ref="D33:N33">D27+D28</f>
        <v>631723819</v>
      </c>
      <c r="E33" s="174">
        <f t="shared" si="14"/>
        <v>643727385</v>
      </c>
      <c r="F33" s="174">
        <f t="shared" si="14"/>
        <v>696162621</v>
      </c>
      <c r="G33" s="174">
        <f t="shared" si="14"/>
        <v>817589505</v>
      </c>
      <c r="H33" s="174">
        <f t="shared" si="14"/>
        <v>760312744</v>
      </c>
      <c r="I33" s="174">
        <f t="shared" si="14"/>
        <v>723201198</v>
      </c>
      <c r="J33" s="174">
        <f t="shared" si="14"/>
        <v>777643271</v>
      </c>
      <c r="K33" s="174">
        <f t="shared" si="14"/>
        <v>748612504</v>
      </c>
      <c r="L33" s="174">
        <f t="shared" si="14"/>
        <v>793174744</v>
      </c>
      <c r="M33" s="174">
        <f t="shared" si="14"/>
        <v>801474744</v>
      </c>
      <c r="N33" s="174">
        <f t="shared" si="14"/>
        <v>787039505</v>
      </c>
      <c r="O33" s="759">
        <f>O27+O28</f>
        <v>13856319158</v>
      </c>
      <c r="P33" s="171"/>
    </row>
  </sheetData>
  <sheetProtection/>
  <mergeCells count="5">
    <mergeCell ref="B1:B2"/>
    <mergeCell ref="B15:O16"/>
    <mergeCell ref="B17:B18"/>
    <mergeCell ref="A1:A2"/>
    <mergeCell ref="A17:A1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  <headerFooter alignWithMargins="0">
    <oddHeader>&amp;LTÁJÉKOZTATÓ TÁBLA!&amp;C
&amp;"Times New Roman,Normál"Az Önkormányzat 2017. évi bevételi és kiadási előirányzatainak felhasználási terve (Ft)&amp;R&amp;"Times New Roman,Normál"2.10.  sz.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52">
    <pageSetUpPr fitToPage="1"/>
  </sheetPr>
  <dimension ref="A1:C19"/>
  <sheetViews>
    <sheetView workbookViewId="0" topLeftCell="A1">
      <selection activeCell="G12" sqref="G12"/>
    </sheetView>
  </sheetViews>
  <sheetFormatPr defaultColWidth="9.140625" defaultRowHeight="12.75"/>
  <cols>
    <col min="2" max="2" width="47.421875" style="0" customWidth="1"/>
    <col min="3" max="3" width="17.8515625" style="0" customWidth="1"/>
  </cols>
  <sheetData>
    <row r="1" spans="1:3" ht="15" customHeight="1">
      <c r="A1" s="264" t="s">
        <v>332</v>
      </c>
      <c r="B1" s="267" t="s">
        <v>333</v>
      </c>
      <c r="C1" s="265" t="s">
        <v>334</v>
      </c>
    </row>
    <row r="2" spans="1:3" ht="15" customHeight="1" thickBot="1">
      <c r="A2" s="85"/>
      <c r="B2" s="268"/>
      <c r="C2" s="86" t="s">
        <v>1049</v>
      </c>
    </row>
    <row r="3" spans="1:3" ht="15" customHeight="1">
      <c r="A3" s="87" t="s">
        <v>695</v>
      </c>
      <c r="B3" s="269" t="s">
        <v>489</v>
      </c>
      <c r="C3" s="272"/>
    </row>
    <row r="4" spans="1:3" ht="15" customHeight="1" thickBot="1">
      <c r="A4" s="88"/>
      <c r="B4" s="270" t="s">
        <v>696</v>
      </c>
      <c r="C4" s="103"/>
    </row>
    <row r="5" spans="1:3" ht="15" customHeight="1">
      <c r="A5" s="87" t="s">
        <v>697</v>
      </c>
      <c r="B5" s="269" t="s">
        <v>345</v>
      </c>
      <c r="C5" s="102">
        <v>0</v>
      </c>
    </row>
    <row r="6" spans="1:3" ht="15" customHeight="1" thickBot="1">
      <c r="A6" s="88"/>
      <c r="B6" s="270" t="s">
        <v>698</v>
      </c>
      <c r="C6" s="103"/>
    </row>
    <row r="7" spans="1:3" ht="15" customHeight="1">
      <c r="A7" s="87" t="s">
        <v>346</v>
      </c>
      <c r="B7" s="1178" t="s">
        <v>347</v>
      </c>
      <c r="C7" s="1179">
        <f>SUM(C8:C11)</f>
        <v>720000</v>
      </c>
    </row>
    <row r="8" spans="1:3" ht="15" customHeight="1">
      <c r="A8" s="87"/>
      <c r="B8" s="269" t="s">
        <v>348</v>
      </c>
      <c r="C8" s="272"/>
    </row>
    <row r="9" spans="1:3" ht="15" customHeight="1">
      <c r="A9" s="87"/>
      <c r="B9" s="269" t="s">
        <v>336</v>
      </c>
      <c r="C9" s="272">
        <v>110000</v>
      </c>
    </row>
    <row r="10" spans="1:3" ht="15" customHeight="1">
      <c r="A10" s="87"/>
      <c r="B10" s="269" t="s">
        <v>337</v>
      </c>
      <c r="C10" s="272">
        <v>363000</v>
      </c>
    </row>
    <row r="11" spans="1:3" ht="15" customHeight="1" thickBot="1">
      <c r="A11" s="88"/>
      <c r="B11" s="269" t="s">
        <v>338</v>
      </c>
      <c r="C11" s="272">
        <v>247000</v>
      </c>
    </row>
    <row r="12" spans="1:3" ht="15" customHeight="1">
      <c r="A12" s="87" t="s">
        <v>520</v>
      </c>
      <c r="B12" s="1181" t="s">
        <v>744</v>
      </c>
      <c r="C12" s="1180">
        <v>57794152</v>
      </c>
    </row>
    <row r="13" spans="1:3" ht="15" customHeight="1" thickBot="1">
      <c r="A13" s="88"/>
      <c r="B13" s="1182" t="s">
        <v>745</v>
      </c>
      <c r="C13" s="274"/>
    </row>
    <row r="14" spans="1:3" ht="15" customHeight="1">
      <c r="A14" s="87" t="s">
        <v>442</v>
      </c>
      <c r="B14" s="269" t="s">
        <v>330</v>
      </c>
      <c r="C14" s="272"/>
    </row>
    <row r="15" spans="1:3" ht="15" customHeight="1" thickBot="1">
      <c r="A15" s="87"/>
      <c r="B15" s="269" t="s">
        <v>331</v>
      </c>
      <c r="C15" s="102"/>
    </row>
    <row r="16" spans="1:3" ht="15" customHeight="1" thickBot="1">
      <c r="A16" s="266"/>
      <c r="B16" s="271" t="s">
        <v>335</v>
      </c>
      <c r="C16" s="96">
        <f>C3+C5+C7+C12+C14</f>
        <v>58514152</v>
      </c>
    </row>
    <row r="17" spans="1:3" ht="12.75">
      <c r="A17" s="79"/>
      <c r="B17" s="79"/>
      <c r="C17" s="79"/>
    </row>
    <row r="18" spans="1:3" ht="12.75">
      <c r="A18" s="79"/>
      <c r="B18" s="79"/>
      <c r="C18" s="79"/>
    </row>
    <row r="19" spans="1:3" ht="12.75">
      <c r="A19" s="79"/>
      <c r="B19" s="79"/>
      <c r="C19" s="79"/>
    </row>
  </sheetData>
  <sheetProtection/>
  <printOptions/>
  <pageMargins left="0.7874015748031497" right="0.7874015748031497" top="1.3779527559055118" bottom="0.984251968503937" header="0.5118110236220472" footer="0.5118110236220472"/>
  <pageSetup fitToHeight="1" fitToWidth="1" orientation="portrait" paperSize="9" r:id="rId1"/>
  <headerFooter alignWithMargins="0">
    <oddHeader>&amp;LTÁJÉKOZTATÓ TÁBLA!&amp;C&amp;"Times New Roman,Normál"
PESTERZSÉBET ÖNKORMÁNYZATA ÁLTAL NYÚJTOTT 2017. ÉVI KÖZVETETT TÁMOGATÁSOK&amp;R&amp;"Times New Roman,Normál"2.11. sz.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53"/>
  <dimension ref="B27:B27"/>
  <sheetViews>
    <sheetView zoomScalePageLayoutView="0" workbookViewId="0" topLeftCell="A1">
      <selection activeCell="M27" sqref="M27"/>
    </sheetView>
  </sheetViews>
  <sheetFormatPr defaultColWidth="9.140625" defaultRowHeight="12.75"/>
  <sheetData>
    <row r="27" ht="30.75">
      <c r="B27" s="428" t="s">
        <v>382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45">
    <pageSetUpPr fitToPage="1"/>
  </sheetPr>
  <dimension ref="A1:I37"/>
  <sheetViews>
    <sheetView zoomScalePageLayoutView="0" workbookViewId="0" topLeftCell="A1">
      <pane xSplit="2" ySplit="2" topLeftCell="C12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C22" sqref="C22"/>
    </sheetView>
  </sheetViews>
  <sheetFormatPr defaultColWidth="9.140625" defaultRowHeight="12.75"/>
  <cols>
    <col min="1" max="1" width="7.7109375" style="1147" bestFit="1" customWidth="1"/>
    <col min="2" max="2" width="92.28125" style="1147" bestFit="1" customWidth="1"/>
    <col min="3" max="3" width="11.421875" style="1146" bestFit="1" customWidth="1"/>
    <col min="4" max="4" width="15.140625" style="1146" bestFit="1" customWidth="1"/>
    <col min="5" max="5" width="14.140625" style="1146" customWidth="1"/>
    <col min="6" max="6" width="17.28125" style="1146" bestFit="1" customWidth="1"/>
    <col min="7" max="7" width="15.140625" style="1146" bestFit="1" customWidth="1"/>
    <col min="8" max="8" width="11.28125" style="1147" bestFit="1" customWidth="1"/>
    <col min="9" max="9" width="9.140625" style="1146" customWidth="1"/>
    <col min="10" max="16384" width="9.140625" style="1147" customWidth="1"/>
  </cols>
  <sheetData>
    <row r="1" spans="1:8" ht="12.75" customHeight="1">
      <c r="A1" s="1844" t="s">
        <v>523</v>
      </c>
      <c r="B1" s="1872" t="s">
        <v>140</v>
      </c>
      <c r="C1" s="1854" t="s">
        <v>1054</v>
      </c>
      <c r="D1" s="1851" t="s">
        <v>1050</v>
      </c>
      <c r="E1" s="1852"/>
      <c r="F1" s="1852"/>
      <c r="G1" s="1853"/>
      <c r="H1" s="1848" t="s">
        <v>1051</v>
      </c>
    </row>
    <row r="2" spans="1:8" ht="48" thickBot="1">
      <c r="A2" s="1845"/>
      <c r="B2" s="1873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9" s="1138" customFormat="1" ht="24.75" customHeight="1" thickBot="1">
      <c r="A3" s="761" t="s">
        <v>185</v>
      </c>
      <c r="B3" s="762" t="s">
        <v>186</v>
      </c>
      <c r="C3" s="763"/>
      <c r="D3" s="763"/>
      <c r="E3" s="763"/>
      <c r="F3" s="763"/>
      <c r="G3" s="763">
        <f>SUM(D3:F3)</f>
        <v>0</v>
      </c>
      <c r="H3" s="764"/>
      <c r="I3" s="1137"/>
    </row>
    <row r="4" spans="1:9" s="1138" customFormat="1" ht="24.75" customHeight="1" thickBot="1">
      <c r="A4" s="761" t="s">
        <v>187</v>
      </c>
      <c r="B4" s="765" t="s">
        <v>145</v>
      </c>
      <c r="C4" s="763"/>
      <c r="D4" s="763"/>
      <c r="E4" s="763"/>
      <c r="F4" s="763"/>
      <c r="G4" s="763">
        <f aca="true" t="shared" si="0" ref="G4:G9">SUM(D4:F4)</f>
        <v>0</v>
      </c>
      <c r="H4" s="764"/>
      <c r="I4" s="1137"/>
    </row>
    <row r="5" spans="1:9" s="1138" customFormat="1" ht="24.75" customHeight="1" thickBot="1">
      <c r="A5" s="761" t="s">
        <v>193</v>
      </c>
      <c r="B5" s="762" t="s">
        <v>177</v>
      </c>
      <c r="C5" s="763"/>
      <c r="D5" s="763"/>
      <c r="E5" s="763"/>
      <c r="F5" s="763"/>
      <c r="G5" s="763">
        <f t="shared" si="0"/>
        <v>0</v>
      </c>
      <c r="H5" s="764"/>
      <c r="I5" s="1137"/>
    </row>
    <row r="6" spans="1:9" s="1138" customFormat="1" ht="24.75" customHeight="1" thickBot="1">
      <c r="A6" s="761" t="s">
        <v>469</v>
      </c>
      <c r="B6" s="762" t="s">
        <v>664</v>
      </c>
      <c r="C6" s="763">
        <f>SUM(C7:C9)</f>
        <v>5842</v>
      </c>
      <c r="D6" s="763">
        <f>SUM(D7:D9)</f>
        <v>6794500</v>
      </c>
      <c r="E6" s="763">
        <f>SUM(E7:E9)</f>
        <v>0</v>
      </c>
      <c r="F6" s="763">
        <f>SUM(F7:F9)</f>
        <v>0</v>
      </c>
      <c r="G6" s="763">
        <f>SUM(D6:F6)</f>
        <v>6794500</v>
      </c>
      <c r="H6" s="764">
        <f>+G6/(C6*1000)</f>
        <v>1.16</v>
      </c>
      <c r="I6" s="1137"/>
    </row>
    <row r="7" spans="1:8" ht="15" customHeight="1">
      <c r="A7" s="809" t="s">
        <v>194</v>
      </c>
      <c r="B7" s="1148" t="s">
        <v>115</v>
      </c>
      <c r="C7" s="1149">
        <v>4500</v>
      </c>
      <c r="D7" s="1149">
        <v>4300000</v>
      </c>
      <c r="E7" s="1149"/>
      <c r="F7" s="1149"/>
      <c r="G7" s="1149">
        <f t="shared" si="0"/>
        <v>4300000</v>
      </c>
      <c r="H7" s="1150">
        <f>+G7/(C7*1000)</f>
        <v>0.96</v>
      </c>
    </row>
    <row r="8" spans="1:8" ht="15" customHeight="1">
      <c r="A8" s="809" t="s">
        <v>195</v>
      </c>
      <c r="B8" s="1148" t="s">
        <v>196</v>
      </c>
      <c r="C8" s="1149">
        <v>100</v>
      </c>
      <c r="D8" s="1149">
        <v>1050000</v>
      </c>
      <c r="E8" s="1149"/>
      <c r="F8" s="1149"/>
      <c r="G8" s="1149">
        <f t="shared" si="0"/>
        <v>1050000</v>
      </c>
      <c r="H8" s="1150">
        <f>+G8/(C8*1000)</f>
        <v>10.5</v>
      </c>
    </row>
    <row r="9" spans="1:8" ht="15" customHeight="1" thickBot="1">
      <c r="A9" s="809" t="s">
        <v>197</v>
      </c>
      <c r="B9" s="1148" t="s">
        <v>198</v>
      </c>
      <c r="C9" s="1149">
        <v>1242</v>
      </c>
      <c r="D9" s="1151">
        <f>+(D7+D8)*27%</f>
        <v>1444500</v>
      </c>
      <c r="E9" s="1149"/>
      <c r="F9" s="1149"/>
      <c r="G9" s="1149">
        <f t="shared" si="0"/>
        <v>1444500</v>
      </c>
      <c r="H9" s="1150">
        <f>+G9/(C9*1000)</f>
        <v>1.16</v>
      </c>
    </row>
    <row r="10" spans="1:9" s="1138" customFormat="1" ht="24.75" customHeight="1" thickBot="1">
      <c r="A10" s="761" t="s">
        <v>486</v>
      </c>
      <c r="B10" s="762" t="s">
        <v>663</v>
      </c>
      <c r="C10" s="763"/>
      <c r="D10" s="763"/>
      <c r="E10" s="763"/>
      <c r="F10" s="763"/>
      <c r="G10" s="763"/>
      <c r="H10" s="1152"/>
      <c r="I10" s="1137"/>
    </row>
    <row r="11" spans="1:9" s="1138" customFormat="1" ht="24.75" customHeight="1" thickBot="1">
      <c r="A11" s="761" t="s">
        <v>471</v>
      </c>
      <c r="B11" s="762" t="s">
        <v>475</v>
      </c>
      <c r="C11" s="763"/>
      <c r="D11" s="763"/>
      <c r="E11" s="763"/>
      <c r="F11" s="763"/>
      <c r="G11" s="763"/>
      <c r="H11" s="1152"/>
      <c r="I11" s="1137"/>
    </row>
    <row r="12" spans="1:9" s="1138" customFormat="1" ht="24.75" customHeight="1" thickBot="1">
      <c r="A12" s="761" t="s">
        <v>473</v>
      </c>
      <c r="B12" s="762" t="s">
        <v>474</v>
      </c>
      <c r="C12" s="763"/>
      <c r="D12" s="763"/>
      <c r="E12" s="763"/>
      <c r="F12" s="763"/>
      <c r="G12" s="763"/>
      <c r="H12" s="1152"/>
      <c r="I12" s="1137"/>
    </row>
    <row r="13" spans="1:9" s="1138" customFormat="1" ht="33.75" customHeight="1" thickBot="1">
      <c r="A13" s="782" t="s">
        <v>476</v>
      </c>
      <c r="B13" s="783" t="s">
        <v>286</v>
      </c>
      <c r="C13" s="784">
        <f>C3+C4+C5+C6+C10+C11+C12</f>
        <v>5842</v>
      </c>
      <c r="D13" s="784">
        <f>D3+D4+D5+D6+D10+D11+D12</f>
        <v>6794500</v>
      </c>
      <c r="E13" s="784">
        <f>E3+E4+E5+E6+E10+E11+E12</f>
        <v>0</v>
      </c>
      <c r="F13" s="784">
        <f>F3+F4+F5+F6+F10+F11+F12</f>
        <v>0</v>
      </c>
      <c r="G13" s="1139">
        <f aca="true" t="shared" si="1" ref="G13:G23">SUM(D13:F13)</f>
        <v>6794500</v>
      </c>
      <c r="H13" s="786">
        <f>+G13/(C13*1000)</f>
        <v>1.16</v>
      </c>
      <c r="I13" s="1137"/>
    </row>
    <row r="14" spans="1:9" s="1138" customFormat="1" ht="24.75" customHeight="1" thickBot="1">
      <c r="A14" s="782" t="s">
        <v>477</v>
      </c>
      <c r="B14" s="1153" t="s">
        <v>478</v>
      </c>
      <c r="C14" s="1154">
        <f>C15</f>
        <v>1528919</v>
      </c>
      <c r="D14" s="1154">
        <f>D15</f>
        <v>1504913371</v>
      </c>
      <c r="E14" s="1154">
        <f>E15</f>
        <v>26817935</v>
      </c>
      <c r="F14" s="1154">
        <f>F15</f>
        <v>19124940</v>
      </c>
      <c r="G14" s="1154">
        <f>SUM(D14:F14)</f>
        <v>1550856246</v>
      </c>
      <c r="H14" s="1155">
        <f>+G14/(C14*1000)</f>
        <v>1.01</v>
      </c>
      <c r="I14" s="1137"/>
    </row>
    <row r="15" spans="1:9" s="1138" customFormat="1" ht="19.5" customHeight="1">
      <c r="A15" s="1156" t="s">
        <v>483</v>
      </c>
      <c r="B15" s="1157" t="s">
        <v>484</v>
      </c>
      <c r="C15" s="1158">
        <f>C16+C20</f>
        <v>1528919</v>
      </c>
      <c r="D15" s="1158">
        <f>D16+D20</f>
        <v>1504913371</v>
      </c>
      <c r="E15" s="1158">
        <f>E16+E20</f>
        <v>26817935</v>
      </c>
      <c r="F15" s="1158">
        <f>F16+F20</f>
        <v>19124940</v>
      </c>
      <c r="G15" s="1158">
        <f>SUM(D15:F15)</f>
        <v>1550856246</v>
      </c>
      <c r="H15" s="1159">
        <f>+G15/(C15*1000)</f>
        <v>1.01</v>
      </c>
      <c r="I15" s="1137"/>
    </row>
    <row r="16" spans="1:9" s="1165" customFormat="1" ht="15" customHeight="1">
      <c r="A16" s="1160" t="s">
        <v>481</v>
      </c>
      <c r="B16" s="1161" t="s">
        <v>482</v>
      </c>
      <c r="C16" s="1162">
        <f>C17</f>
        <v>0</v>
      </c>
      <c r="D16" s="1162">
        <f>D17</f>
        <v>0</v>
      </c>
      <c r="E16" s="1162">
        <f>E17</f>
        <v>0</v>
      </c>
      <c r="F16" s="1162">
        <f>F17</f>
        <v>0</v>
      </c>
      <c r="G16" s="793">
        <f>SUM(D16:F16)</f>
        <v>0</v>
      </c>
      <c r="H16" s="1163"/>
      <c r="I16" s="1164"/>
    </row>
    <row r="17" spans="1:9" s="1165" customFormat="1" ht="15" customHeight="1">
      <c r="A17" s="1160" t="s">
        <v>479</v>
      </c>
      <c r="B17" s="1166" t="s">
        <v>480</v>
      </c>
      <c r="C17" s="1167">
        <f>SUM(C18:C19)</f>
        <v>0</v>
      </c>
      <c r="D17" s="1167">
        <f>SUM(D18:D19)</f>
        <v>0</v>
      </c>
      <c r="E17" s="1167">
        <f>SUM(E18:E19)</f>
        <v>0</v>
      </c>
      <c r="F17" s="1167">
        <f>SUM(F18:F19)</f>
        <v>0</v>
      </c>
      <c r="G17" s="1162">
        <f>SUM(D17:F17)</f>
        <v>0</v>
      </c>
      <c r="H17" s="1168"/>
      <c r="I17" s="1164"/>
    </row>
    <row r="18" spans="1:9" s="1140" customFormat="1" ht="15" customHeight="1">
      <c r="A18" s="809"/>
      <c r="B18" s="1148" t="s">
        <v>241</v>
      </c>
      <c r="C18" s="811"/>
      <c r="D18" s="811"/>
      <c r="E18" s="811"/>
      <c r="F18" s="811"/>
      <c r="G18" s="811">
        <f>SUM(D18:F18)</f>
        <v>0</v>
      </c>
      <c r="H18" s="1169"/>
      <c r="I18" s="1170"/>
    </row>
    <row r="19" spans="1:9" s="1140" customFormat="1" ht="15" customHeight="1">
      <c r="A19" s="809"/>
      <c r="B19" s="1148" t="s">
        <v>242</v>
      </c>
      <c r="C19" s="811"/>
      <c r="D19" s="811"/>
      <c r="E19" s="811"/>
      <c r="F19" s="811"/>
      <c r="G19" s="811">
        <f t="shared" si="1"/>
        <v>0</v>
      </c>
      <c r="H19" s="1169"/>
      <c r="I19" s="1170"/>
    </row>
    <row r="20" spans="1:9" s="1165" customFormat="1" ht="15" customHeight="1">
      <c r="A20" s="1160" t="s">
        <v>665</v>
      </c>
      <c r="B20" s="1161" t="s">
        <v>666</v>
      </c>
      <c r="C20" s="1162">
        <f>SUM(C21:C22)</f>
        <v>1528919</v>
      </c>
      <c r="D20" s="1162">
        <f>SUM(D21:D22)</f>
        <v>1504913371</v>
      </c>
      <c r="E20" s="1162">
        <f>SUM(E21:E22)</f>
        <v>26817935</v>
      </c>
      <c r="F20" s="1162">
        <f>SUM(F21:F22)</f>
        <v>19124940</v>
      </c>
      <c r="G20" s="793">
        <f>SUM(D20:F20)</f>
        <v>1550856246</v>
      </c>
      <c r="H20" s="1163">
        <f aca="true" t="shared" si="2" ref="H20:H31">+G20/(C20*1000)</f>
        <v>1.01</v>
      </c>
      <c r="I20" s="1164"/>
    </row>
    <row r="21" spans="1:9" s="1138" customFormat="1" ht="15" customHeight="1">
      <c r="A21" s="1171"/>
      <c r="B21" s="1172" t="s">
        <v>667</v>
      </c>
      <c r="C21" s="717">
        <v>1366702</v>
      </c>
      <c r="D21" s="717">
        <v>1371918971</v>
      </c>
      <c r="E21" s="717">
        <v>26817935</v>
      </c>
      <c r="F21" s="717">
        <v>19124940</v>
      </c>
      <c r="G21" s="797">
        <f t="shared" si="1"/>
        <v>1417861846</v>
      </c>
      <c r="H21" s="1173">
        <f t="shared" si="2"/>
        <v>1.04</v>
      </c>
      <c r="I21" s="1137"/>
    </row>
    <row r="22" spans="1:9" s="1138" customFormat="1" ht="15" customHeight="1" thickBot="1">
      <c r="A22" s="1171"/>
      <c r="B22" s="1172" t="s">
        <v>668</v>
      </c>
      <c r="C22" s="717">
        <v>162217</v>
      </c>
      <c r="D22" s="717">
        <v>132994400</v>
      </c>
      <c r="E22" s="717">
        <v>0</v>
      </c>
      <c r="F22" s="717">
        <v>0</v>
      </c>
      <c r="G22" s="797">
        <f t="shared" si="1"/>
        <v>132994400</v>
      </c>
      <c r="H22" s="1173">
        <f t="shared" si="2"/>
        <v>0.82</v>
      </c>
      <c r="I22" s="1137"/>
    </row>
    <row r="23" spans="1:8" s="1174" customFormat="1" ht="48.75" customHeight="1" thickBot="1">
      <c r="A23" s="1141"/>
      <c r="B23" s="1142" t="s">
        <v>178</v>
      </c>
      <c r="C23" s="1143">
        <f>C13+C14</f>
        <v>1534761</v>
      </c>
      <c r="D23" s="1143">
        <f>D13+D14</f>
        <v>1511707871</v>
      </c>
      <c r="E23" s="1143">
        <f>E13+E14</f>
        <v>26817935</v>
      </c>
      <c r="F23" s="1143">
        <f>F13+F14</f>
        <v>19124940</v>
      </c>
      <c r="G23" s="1143">
        <f t="shared" si="1"/>
        <v>1557650746</v>
      </c>
      <c r="H23" s="1144">
        <f t="shared" si="2"/>
        <v>1.01</v>
      </c>
    </row>
    <row r="24" s="1140" customFormat="1" ht="17.25" customHeight="1" thickBot="1"/>
    <row r="25" spans="1:8" s="1140" customFormat="1" ht="17.25" customHeight="1">
      <c r="A25" s="805"/>
      <c r="B25" s="806" t="s">
        <v>549</v>
      </c>
      <c r="C25" s="807">
        <f>C3+C5+C6+C11</f>
        <v>5842</v>
      </c>
      <c r="D25" s="807">
        <f>D3+D5+D6+D11</f>
        <v>6794500</v>
      </c>
      <c r="E25" s="807">
        <f>E3+E5+E6+E11</f>
        <v>0</v>
      </c>
      <c r="F25" s="807">
        <f>F3+F5+F6+F11</f>
        <v>0</v>
      </c>
      <c r="G25" s="807">
        <f>SUM(D25:F25)</f>
        <v>6794500</v>
      </c>
      <c r="H25" s="808">
        <f t="shared" si="2"/>
        <v>1.16</v>
      </c>
    </row>
    <row r="26" spans="1:8" s="1140" customFormat="1" ht="17.25" customHeight="1">
      <c r="A26" s="809"/>
      <c r="B26" s="810" t="s">
        <v>550</v>
      </c>
      <c r="C26" s="811">
        <f>C4+C10+C12</f>
        <v>0</v>
      </c>
      <c r="D26" s="811">
        <f>D4+D10+D12</f>
        <v>0</v>
      </c>
      <c r="E26" s="811">
        <f>E4+E10+E12</f>
        <v>0</v>
      </c>
      <c r="F26" s="811">
        <f>F4+F10+F12</f>
        <v>0</v>
      </c>
      <c r="G26" s="811">
        <f aca="true" t="shared" si="3" ref="G26:G31">SUM(D26:F26)</f>
        <v>0</v>
      </c>
      <c r="H26" s="812"/>
    </row>
    <row r="27" spans="1:8" s="1140" customFormat="1" ht="17.25" customHeight="1">
      <c r="A27" s="809"/>
      <c r="B27" s="810" t="s">
        <v>551</v>
      </c>
      <c r="C27" s="811">
        <f aca="true" t="shared" si="4" ref="C27:F28">C18+C21</f>
        <v>1366702</v>
      </c>
      <c r="D27" s="811">
        <f t="shared" si="4"/>
        <v>1371918971</v>
      </c>
      <c r="E27" s="811">
        <f t="shared" si="4"/>
        <v>26817935</v>
      </c>
      <c r="F27" s="811">
        <f t="shared" si="4"/>
        <v>19124940</v>
      </c>
      <c r="G27" s="811">
        <f t="shared" si="3"/>
        <v>1417861846</v>
      </c>
      <c r="H27" s="812">
        <f t="shared" si="2"/>
        <v>1.04</v>
      </c>
    </row>
    <row r="28" spans="1:8" s="1140" customFormat="1" ht="17.25" customHeight="1" thickBot="1">
      <c r="A28" s="813"/>
      <c r="B28" s="814" t="s">
        <v>552</v>
      </c>
      <c r="C28" s="815">
        <f t="shared" si="4"/>
        <v>162217</v>
      </c>
      <c r="D28" s="815">
        <f t="shared" si="4"/>
        <v>132994400</v>
      </c>
      <c r="E28" s="815">
        <f t="shared" si="4"/>
        <v>0</v>
      </c>
      <c r="F28" s="815">
        <f t="shared" si="4"/>
        <v>0</v>
      </c>
      <c r="G28" s="1175">
        <f t="shared" si="3"/>
        <v>132994400</v>
      </c>
      <c r="H28" s="816">
        <f t="shared" si="2"/>
        <v>0.82</v>
      </c>
    </row>
    <row r="29" spans="1:8" s="1145" customFormat="1" ht="17.25" customHeight="1">
      <c r="A29" s="817"/>
      <c r="B29" s="818" t="s">
        <v>553</v>
      </c>
      <c r="C29" s="819">
        <f aca="true" t="shared" si="5" ref="C29:F30">C25+C27</f>
        <v>1372544</v>
      </c>
      <c r="D29" s="819">
        <f t="shared" si="5"/>
        <v>1378713471</v>
      </c>
      <c r="E29" s="819">
        <f t="shared" si="5"/>
        <v>26817935</v>
      </c>
      <c r="F29" s="819">
        <f t="shared" si="5"/>
        <v>19124940</v>
      </c>
      <c r="G29" s="819">
        <f t="shared" si="3"/>
        <v>1424656346</v>
      </c>
      <c r="H29" s="820">
        <f t="shared" si="2"/>
        <v>1.04</v>
      </c>
    </row>
    <row r="30" spans="1:8" s="1145" customFormat="1" ht="17.25" customHeight="1" thickBot="1">
      <c r="A30" s="821"/>
      <c r="B30" s="822" t="s">
        <v>554</v>
      </c>
      <c r="C30" s="823">
        <f t="shared" si="5"/>
        <v>162217</v>
      </c>
      <c r="D30" s="823">
        <f t="shared" si="5"/>
        <v>132994400</v>
      </c>
      <c r="E30" s="823">
        <f t="shared" si="5"/>
        <v>0</v>
      </c>
      <c r="F30" s="823">
        <f t="shared" si="5"/>
        <v>0</v>
      </c>
      <c r="G30" s="823">
        <f t="shared" si="3"/>
        <v>132994400</v>
      </c>
      <c r="H30" s="824">
        <f t="shared" si="2"/>
        <v>0.82</v>
      </c>
    </row>
    <row r="31" spans="1:8" s="1145" customFormat="1" ht="17.25" customHeight="1" thickBot="1">
      <c r="A31" s="825"/>
      <c r="B31" s="826" t="s">
        <v>555</v>
      </c>
      <c r="C31" s="827">
        <f>SUM(C29:C30)</f>
        <v>1534761</v>
      </c>
      <c r="D31" s="827">
        <f>SUM(D29:D30)</f>
        <v>1511707871</v>
      </c>
      <c r="E31" s="827">
        <f>SUM(E29:E30)</f>
        <v>26817935</v>
      </c>
      <c r="F31" s="827">
        <f>SUM(F29:F30)</f>
        <v>19124940</v>
      </c>
      <c r="G31" s="827">
        <f t="shared" si="3"/>
        <v>1557650746</v>
      </c>
      <c r="H31" s="828">
        <f t="shared" si="2"/>
        <v>1.01</v>
      </c>
    </row>
    <row r="32" s="1140" customFormat="1" ht="17.25" customHeight="1"/>
    <row r="33" s="1140" customFormat="1" ht="17.25" customHeight="1"/>
    <row r="34" s="1140" customFormat="1" ht="17.25" customHeight="1"/>
    <row r="35" s="1140" customFormat="1" ht="17.25" customHeight="1">
      <c r="I35" s="1170"/>
    </row>
    <row r="36" s="1140" customFormat="1" ht="17.25" customHeight="1">
      <c r="I36" s="1170"/>
    </row>
    <row r="37" s="1177" customFormat="1" ht="30" customHeight="1">
      <c r="I37" s="1176"/>
    </row>
  </sheetData>
  <sheetProtection/>
  <mergeCells count="5">
    <mergeCell ref="A1:A2"/>
    <mergeCell ref="D1:G1"/>
    <mergeCell ref="H1:H2"/>
    <mergeCell ref="C1:C2"/>
    <mergeCell ref="B1:B2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orientation="landscape" paperSize="9" scale="69" r:id="rId1"/>
  <headerFooter alignWithMargins="0">
    <oddHeader>&amp;C&amp;"Times New Roman,Normál"BUDAPEST FŐVÁROS XX. KERÜLET PESTERZSÉBETI POLGÁRMESTERI HIVATAL
 2017. ÉVI 
BEVÉTELEI
&amp;R&amp;"Times New Roman,Normál"3.1. sz. melléklet&amp;"MS Sans Serif,Normál"
</oddHead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40">
    <pageSetUpPr fitToPage="1"/>
  </sheetPr>
  <dimension ref="A1:I2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.140625" style="829" customWidth="1"/>
    <col min="2" max="2" width="72.28125" style="829" bestFit="1" customWidth="1"/>
    <col min="3" max="5" width="16.421875" style="829" customWidth="1"/>
    <col min="6" max="6" width="17.421875" style="829" customWidth="1"/>
    <col min="7" max="7" width="16.421875" style="830" customWidth="1"/>
    <col min="8" max="8" width="16.421875" style="831" customWidth="1"/>
    <col min="9" max="16384" width="9.140625" style="829" customWidth="1"/>
  </cols>
  <sheetData>
    <row r="1" spans="1:8" s="1135" customFormat="1" ht="14.25" customHeight="1">
      <c r="A1" s="1904" t="s">
        <v>523</v>
      </c>
      <c r="B1" s="1906" t="s">
        <v>140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8" s="1135" customFormat="1" ht="48" thickBot="1">
      <c r="A2" s="1905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9" s="1138" customFormat="1" ht="24.75" customHeight="1" thickBot="1">
      <c r="A3" s="761" t="s">
        <v>104</v>
      </c>
      <c r="B3" s="762" t="s">
        <v>105</v>
      </c>
      <c r="C3" s="763">
        <v>735505</v>
      </c>
      <c r="D3" s="763">
        <v>797575723</v>
      </c>
      <c r="E3" s="763">
        <v>10000000</v>
      </c>
      <c r="F3" s="763"/>
      <c r="G3" s="763">
        <f aca="true" t="shared" si="0" ref="G3:G9">SUM(D3:F3)</f>
        <v>807575723</v>
      </c>
      <c r="H3" s="764">
        <f>+G3/(C3*1000)</f>
        <v>1.1</v>
      </c>
      <c r="I3" s="1137"/>
    </row>
    <row r="4" spans="1:9" s="1138" customFormat="1" ht="32.25" thickBot="1">
      <c r="A4" s="761" t="s">
        <v>106</v>
      </c>
      <c r="B4" s="765" t="s">
        <v>107</v>
      </c>
      <c r="C4" s="763">
        <v>226653</v>
      </c>
      <c r="D4" s="763">
        <v>189091906</v>
      </c>
      <c r="E4" s="763">
        <v>14117935</v>
      </c>
      <c r="F4" s="763"/>
      <c r="G4" s="763">
        <f t="shared" si="0"/>
        <v>203209841</v>
      </c>
      <c r="H4" s="764">
        <f aca="true" t="shared" si="1" ref="H4:H23">+G4/(C4*1000)</f>
        <v>0.9</v>
      </c>
      <c r="I4" s="1137"/>
    </row>
    <row r="5" spans="1:9" s="1138" customFormat="1" ht="24.75" customHeight="1" thickBot="1">
      <c r="A5" s="761" t="s">
        <v>108</v>
      </c>
      <c r="B5" s="762" t="s">
        <v>109</v>
      </c>
      <c r="C5" s="763">
        <v>390930</v>
      </c>
      <c r="D5" s="763">
        <v>391087366</v>
      </c>
      <c r="E5" s="763">
        <v>2700000</v>
      </c>
      <c r="F5" s="763">
        <v>4624940</v>
      </c>
      <c r="G5" s="763">
        <f t="shared" si="0"/>
        <v>398412306</v>
      </c>
      <c r="H5" s="764">
        <f t="shared" si="1"/>
        <v>1.02</v>
      </c>
      <c r="I5" s="1137"/>
    </row>
    <row r="6" spans="1:9" s="1138" customFormat="1" ht="24.75" customHeight="1" thickBot="1">
      <c r="A6" s="767" t="s">
        <v>110</v>
      </c>
      <c r="B6" s="768" t="s">
        <v>111</v>
      </c>
      <c r="C6" s="763">
        <v>19456</v>
      </c>
      <c r="D6" s="769"/>
      <c r="E6" s="769"/>
      <c r="F6" s="769">
        <f>+'3.3. Segély Pohi'!F7</f>
        <v>14500000</v>
      </c>
      <c r="G6" s="769">
        <f t="shared" si="0"/>
        <v>14500000</v>
      </c>
      <c r="H6" s="770">
        <f t="shared" si="1"/>
        <v>0.75</v>
      </c>
      <c r="I6" s="1137"/>
    </row>
    <row r="7" spans="1:9" s="1138" customFormat="1" ht="24.75" customHeight="1" thickBot="1">
      <c r="A7" s="761" t="s">
        <v>112</v>
      </c>
      <c r="B7" s="762" t="s">
        <v>113</v>
      </c>
      <c r="C7" s="763">
        <f>+C8</f>
        <v>0</v>
      </c>
      <c r="D7" s="763">
        <f>+D8</f>
        <v>958476</v>
      </c>
      <c r="E7" s="763">
        <f>+E8</f>
        <v>0</v>
      </c>
      <c r="F7" s="763">
        <f>+F8</f>
        <v>0</v>
      </c>
      <c r="G7" s="763">
        <f t="shared" si="0"/>
        <v>958476</v>
      </c>
      <c r="H7" s="764"/>
      <c r="I7" s="1137"/>
    </row>
    <row r="8" spans="1:8" s="1407" customFormat="1" ht="17.25" customHeight="1">
      <c r="A8" s="1699" t="s">
        <v>570</v>
      </c>
      <c r="B8" s="1700" t="s">
        <v>648</v>
      </c>
      <c r="C8" s="792">
        <f>C9</f>
        <v>0</v>
      </c>
      <c r="D8" s="792">
        <f>D9</f>
        <v>958476</v>
      </c>
      <c r="E8" s="792">
        <f>E9</f>
        <v>0</v>
      </c>
      <c r="F8" s="792">
        <f>F9</f>
        <v>0</v>
      </c>
      <c r="G8" s="792">
        <f t="shared" si="0"/>
        <v>958476</v>
      </c>
      <c r="H8" s="1701"/>
    </row>
    <row r="9" spans="1:8" s="1145" customFormat="1" ht="17.25" customHeight="1" thickBot="1">
      <c r="A9" s="809"/>
      <c r="B9" s="810" t="s">
        <v>1099</v>
      </c>
      <c r="C9" s="811">
        <v>0</v>
      </c>
      <c r="D9" s="811">
        <v>958476</v>
      </c>
      <c r="E9" s="811"/>
      <c r="F9" s="811"/>
      <c r="G9" s="811">
        <f t="shared" si="0"/>
        <v>958476</v>
      </c>
      <c r="H9" s="812"/>
    </row>
    <row r="10" spans="1:9" s="1138" customFormat="1" ht="33.75" customHeight="1" thickBot="1">
      <c r="A10" s="767" t="s">
        <v>548</v>
      </c>
      <c r="B10" s="768" t="s">
        <v>121</v>
      </c>
      <c r="C10" s="763">
        <v>119742</v>
      </c>
      <c r="D10" s="763">
        <f>+'3.5.Beruh POHI'!D39</f>
        <v>115214400</v>
      </c>
      <c r="E10" s="763">
        <f>+'3.5.Beruh POHI'!E39</f>
        <v>0</v>
      </c>
      <c r="F10" s="763">
        <f>+'3.5.Beruh POHI'!F39</f>
        <v>0</v>
      </c>
      <c r="G10" s="763">
        <f>+'3.5.Beruh POHI'!G39</f>
        <v>115214400</v>
      </c>
      <c r="H10" s="770">
        <f t="shared" si="1"/>
        <v>0.96</v>
      </c>
      <c r="I10" s="1137"/>
    </row>
    <row r="11" spans="1:9" s="1138" customFormat="1" ht="24.75" customHeight="1" thickBot="1">
      <c r="A11" s="767" t="s">
        <v>122</v>
      </c>
      <c r="B11" s="768" t="s">
        <v>123</v>
      </c>
      <c r="C11" s="763">
        <f>+'3.6.Felúj. POHI'!C15</f>
        <v>42475</v>
      </c>
      <c r="D11" s="763">
        <f>+'3.6.Felúj. POHI'!D15</f>
        <v>17780000</v>
      </c>
      <c r="E11" s="763">
        <f>+'3.6.Felúj. POHI'!E15</f>
        <v>0</v>
      </c>
      <c r="F11" s="763">
        <f>+'3.6.Felúj. POHI'!F15</f>
        <v>0</v>
      </c>
      <c r="G11" s="763">
        <f>+'3.6.Felúj. POHI'!G15</f>
        <v>17780000</v>
      </c>
      <c r="H11" s="770">
        <f t="shared" si="1"/>
        <v>0.42</v>
      </c>
      <c r="I11" s="1137"/>
    </row>
    <row r="12" spans="1:9" s="1138" customFormat="1" ht="24.75" customHeight="1" thickBot="1">
      <c r="A12" s="767" t="s">
        <v>124</v>
      </c>
      <c r="B12" s="768" t="s">
        <v>125</v>
      </c>
      <c r="C12" s="763"/>
      <c r="D12" s="763"/>
      <c r="E12" s="763"/>
      <c r="F12" s="763"/>
      <c r="G12" s="763">
        <f>SUM(D12:F12)</f>
        <v>0</v>
      </c>
      <c r="H12" s="770"/>
      <c r="I12" s="1137"/>
    </row>
    <row r="13" spans="1:8" s="800" customFormat="1" ht="15" customHeight="1" thickBot="1">
      <c r="A13" s="782" t="s">
        <v>138</v>
      </c>
      <c r="B13" s="783" t="s">
        <v>139</v>
      </c>
      <c r="C13" s="784">
        <f>C3+C4+C5+C6+C7+C10+C11+C12</f>
        <v>1534761</v>
      </c>
      <c r="D13" s="784">
        <f>D3+D4+D5+D6+D7+D10+D11+D12</f>
        <v>1511707871</v>
      </c>
      <c r="E13" s="784">
        <f>E3+E4+E5+E6+E7+E10+E11+E12</f>
        <v>26817935</v>
      </c>
      <c r="F13" s="784">
        <f>F3+F4+F5+F6+F7+F10+F11+F12</f>
        <v>19124940</v>
      </c>
      <c r="G13" s="1139">
        <f>SUM(D13:F13)</f>
        <v>1557650746</v>
      </c>
      <c r="H13" s="786">
        <f t="shared" si="1"/>
        <v>1.01</v>
      </c>
    </row>
    <row r="14" spans="1:8" s="1140" customFormat="1" ht="17.25" customHeight="1" thickBot="1">
      <c r="A14" s="761" t="s">
        <v>129</v>
      </c>
      <c r="B14" s="762" t="s">
        <v>130</v>
      </c>
      <c r="C14" s="763"/>
      <c r="D14" s="763"/>
      <c r="E14" s="763"/>
      <c r="F14" s="763"/>
      <c r="G14" s="763">
        <f>SUM(D14:F14)</f>
        <v>0</v>
      </c>
      <c r="H14" s="764"/>
    </row>
    <row r="15" spans="1:8" s="1174" customFormat="1" ht="48.75" customHeight="1" thickBot="1">
      <c r="A15" s="1141"/>
      <c r="B15" s="1142" t="s">
        <v>141</v>
      </c>
      <c r="C15" s="1143">
        <f>C14+C13</f>
        <v>1534761</v>
      </c>
      <c r="D15" s="1143">
        <f>D14+D13</f>
        <v>1511707871</v>
      </c>
      <c r="E15" s="1143">
        <f>E14+E13</f>
        <v>26817935</v>
      </c>
      <c r="F15" s="1143">
        <f>F14+F13</f>
        <v>19124940</v>
      </c>
      <c r="G15" s="1143">
        <f>SUM(D15:F15)</f>
        <v>1557650746</v>
      </c>
      <c r="H15" s="1144">
        <f t="shared" si="1"/>
        <v>1.01</v>
      </c>
    </row>
    <row r="16" spans="1:8" s="1140" customFormat="1" ht="17.25" customHeight="1" thickBot="1">
      <c r="A16" s="800"/>
      <c r="B16" s="801"/>
      <c r="C16" s="802"/>
      <c r="D16" s="802"/>
      <c r="E16" s="802"/>
      <c r="F16" s="803"/>
      <c r="G16" s="803"/>
      <c r="H16" s="804"/>
    </row>
    <row r="17" spans="1:8" s="1140" customFormat="1" ht="17.25" customHeight="1">
      <c r="A17" s="805"/>
      <c r="B17" s="806" t="s">
        <v>158</v>
      </c>
      <c r="C17" s="807">
        <f>C3+C4+C5+C6+C7</f>
        <v>1372544</v>
      </c>
      <c r="D17" s="807">
        <f>D3+D4+D5+D6+D7</f>
        <v>1378713471</v>
      </c>
      <c r="E17" s="807">
        <f>E3+E4+E5+E6+E7</f>
        <v>26817935</v>
      </c>
      <c r="F17" s="807">
        <f>F3+F4+F5+F6+F7</f>
        <v>19124940</v>
      </c>
      <c r="G17" s="807">
        <f>SUM(D17:F17)</f>
        <v>1424656346</v>
      </c>
      <c r="H17" s="808">
        <f t="shared" si="1"/>
        <v>1.04</v>
      </c>
    </row>
    <row r="18" spans="1:8" s="1145" customFormat="1" ht="17.25" customHeight="1">
      <c r="A18" s="809"/>
      <c r="B18" s="810" t="s">
        <v>159</v>
      </c>
      <c r="C18" s="811">
        <f>C10+C11+C12</f>
        <v>162217</v>
      </c>
      <c r="D18" s="811">
        <f>D10+D11+D12</f>
        <v>132994400</v>
      </c>
      <c r="E18" s="811">
        <f>E10+E11+E12</f>
        <v>0</v>
      </c>
      <c r="F18" s="811">
        <f>F10+F11+F12</f>
        <v>0</v>
      </c>
      <c r="G18" s="811">
        <f aca="true" t="shared" si="2" ref="G18:G23">SUM(D18:F18)</f>
        <v>132994400</v>
      </c>
      <c r="H18" s="812">
        <f t="shared" si="1"/>
        <v>0.82</v>
      </c>
    </row>
    <row r="19" spans="1:8" s="1145" customFormat="1" ht="17.25" customHeight="1">
      <c r="A19" s="809"/>
      <c r="B19" s="810" t="s">
        <v>160</v>
      </c>
      <c r="C19" s="811">
        <f>C14</f>
        <v>0</v>
      </c>
      <c r="D19" s="811">
        <f>D14</f>
        <v>0</v>
      </c>
      <c r="E19" s="811">
        <f>E14</f>
        <v>0</v>
      </c>
      <c r="F19" s="811">
        <f>F14</f>
        <v>0</v>
      </c>
      <c r="G19" s="811">
        <f>G14</f>
        <v>0</v>
      </c>
      <c r="H19" s="812"/>
    </row>
    <row r="20" spans="1:8" s="1145" customFormat="1" ht="17.25" customHeight="1" thickBot="1">
      <c r="A20" s="813"/>
      <c r="B20" s="814" t="s">
        <v>161</v>
      </c>
      <c r="C20" s="815">
        <f>C14</f>
        <v>0</v>
      </c>
      <c r="D20" s="815">
        <f>D14</f>
        <v>0</v>
      </c>
      <c r="E20" s="815">
        <f>E14</f>
        <v>0</v>
      </c>
      <c r="F20" s="815">
        <f>F14</f>
        <v>0</v>
      </c>
      <c r="G20" s="815">
        <f>G14</f>
        <v>0</v>
      </c>
      <c r="H20" s="816"/>
    </row>
    <row r="21" spans="1:8" ht="15.75">
      <c r="A21" s="817"/>
      <c r="B21" s="818" t="s">
        <v>162</v>
      </c>
      <c r="C21" s="819">
        <f aca="true" t="shared" si="3" ref="C21:F22">C17+C19</f>
        <v>1372544</v>
      </c>
      <c r="D21" s="819">
        <f t="shared" si="3"/>
        <v>1378713471</v>
      </c>
      <c r="E21" s="819">
        <f t="shared" si="3"/>
        <v>26817935</v>
      </c>
      <c r="F21" s="819">
        <f t="shared" si="3"/>
        <v>19124940</v>
      </c>
      <c r="G21" s="819">
        <f t="shared" si="2"/>
        <v>1424656346</v>
      </c>
      <c r="H21" s="820">
        <f t="shared" si="1"/>
        <v>1.04</v>
      </c>
    </row>
    <row r="22" spans="1:8" ht="16.5" thickBot="1">
      <c r="A22" s="821"/>
      <c r="B22" s="822" t="s">
        <v>163</v>
      </c>
      <c r="C22" s="823">
        <f t="shared" si="3"/>
        <v>162217</v>
      </c>
      <c r="D22" s="823">
        <f t="shared" si="3"/>
        <v>132994400</v>
      </c>
      <c r="E22" s="823">
        <f t="shared" si="3"/>
        <v>0</v>
      </c>
      <c r="F22" s="823">
        <f t="shared" si="3"/>
        <v>0</v>
      </c>
      <c r="G22" s="823">
        <f t="shared" si="2"/>
        <v>132994400</v>
      </c>
      <c r="H22" s="824">
        <f t="shared" si="1"/>
        <v>0.82</v>
      </c>
    </row>
    <row r="23" spans="1:8" ht="16.5" thickBot="1">
      <c r="A23" s="825"/>
      <c r="B23" s="826" t="s">
        <v>164</v>
      </c>
      <c r="C23" s="827">
        <f>C21+C22</f>
        <v>1534761</v>
      </c>
      <c r="D23" s="827">
        <f>D21+D22</f>
        <v>1511707871</v>
      </c>
      <c r="E23" s="827">
        <f>E21+E22</f>
        <v>26817935</v>
      </c>
      <c r="F23" s="827">
        <f>F21+F22</f>
        <v>19124940</v>
      </c>
      <c r="G23" s="827">
        <f t="shared" si="2"/>
        <v>1557650746</v>
      </c>
      <c r="H23" s="828">
        <f t="shared" si="1"/>
        <v>1.01</v>
      </c>
    </row>
  </sheetData>
  <sheetProtection/>
  <mergeCells count="5">
    <mergeCell ref="H1:H2"/>
    <mergeCell ref="A1:A2"/>
    <mergeCell ref="D1:G1"/>
    <mergeCell ref="C1:C2"/>
    <mergeCell ref="B1:B2"/>
  </mergeCells>
  <printOptions/>
  <pageMargins left="0.7874015748031497" right="0.7874015748031497" top="0.5905511811023623" bottom="0.5905511811023623" header="0" footer="0"/>
  <pageSetup fitToHeight="1" fitToWidth="1" horizontalDpi="300" verticalDpi="300" orientation="landscape" paperSize="9" scale="72" r:id="rId1"/>
  <headerFooter alignWithMargins="0">
    <oddHeader xml:space="preserve">&amp;C&amp;"Times New Roman,Normál"BUDAPEST FŐVÁROS XX. KERÜLET PESTERZSÉBETI POLGÁRMESTERI HIVATAL
 2017. ÉVI 
KIADÁSAI&amp;R&amp;"Times New Roman,Félkövér"
&amp;"Times New Roman,Normál"3.2. sz. melléklet &amp;"Times New Roman,Félkövér"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5.00390625" style="746" customWidth="1"/>
    <col min="2" max="2" width="12.7109375" style="746" customWidth="1"/>
    <col min="3" max="3" width="16.00390625" style="746" customWidth="1"/>
    <col min="4" max="4" width="15.28125" style="746" customWidth="1"/>
    <col min="5" max="5" width="17.28125" style="746" customWidth="1"/>
    <col min="6" max="6" width="15.57421875" style="746" bestFit="1" customWidth="1"/>
    <col min="7" max="7" width="13.140625" style="746" customWidth="1"/>
    <col min="8" max="16384" width="9.140625" style="547" customWidth="1"/>
  </cols>
  <sheetData>
    <row r="1" spans="1:10" ht="13.5" customHeight="1">
      <c r="A1" s="1908" t="s">
        <v>344</v>
      </c>
      <c r="B1" s="1862" t="s">
        <v>1065</v>
      </c>
      <c r="C1" s="1910" t="s">
        <v>1050</v>
      </c>
      <c r="D1" s="1910"/>
      <c r="E1" s="1910"/>
      <c r="F1" s="1910"/>
      <c r="G1" s="1864" t="s">
        <v>1051</v>
      </c>
      <c r="H1" s="175"/>
      <c r="I1" s="175"/>
      <c r="J1" s="175"/>
    </row>
    <row r="2" spans="1:10" ht="39" thickBot="1">
      <c r="A2" s="1909"/>
      <c r="B2" s="1863"/>
      <c r="C2" s="1122" t="s">
        <v>287</v>
      </c>
      <c r="D2" s="1122" t="s">
        <v>795</v>
      </c>
      <c r="E2" s="1122" t="s">
        <v>796</v>
      </c>
      <c r="F2" s="1122" t="s">
        <v>65</v>
      </c>
      <c r="G2" s="1865"/>
      <c r="H2" s="175"/>
      <c r="I2" s="175"/>
      <c r="J2" s="175"/>
    </row>
    <row r="3" spans="1:10" ht="31.5" customHeight="1">
      <c r="A3" s="1712" t="s">
        <v>661</v>
      </c>
      <c r="B3" s="1705">
        <v>500</v>
      </c>
      <c r="C3" s="1705"/>
      <c r="D3" s="1706"/>
      <c r="E3" s="1705">
        <v>500000</v>
      </c>
      <c r="F3" s="1707">
        <f>SUM(C3:E3)</f>
        <v>500000</v>
      </c>
      <c r="G3" s="808">
        <f>F3/(B3*1000)</f>
        <v>1</v>
      </c>
      <c r="H3" s="406"/>
      <c r="I3" s="406"/>
      <c r="J3" s="406"/>
    </row>
    <row r="4" spans="1:10" ht="31.5" customHeight="1">
      <c r="A4" s="1713" t="s">
        <v>269</v>
      </c>
      <c r="B4" s="835">
        <f>SUM(B3:B3)</f>
        <v>500</v>
      </c>
      <c r="C4" s="835">
        <f>SUM(C3:C3)</f>
        <v>0</v>
      </c>
      <c r="D4" s="835">
        <f>SUM(D3:D3)</f>
        <v>0</v>
      </c>
      <c r="E4" s="835">
        <f>SUM(E3:E3)</f>
        <v>500000</v>
      </c>
      <c r="F4" s="1708">
        <f>SUM(C4:E4)</f>
        <v>500000</v>
      </c>
      <c r="G4" s="1709">
        <f>F4/(B4*1000)</f>
        <v>1</v>
      </c>
      <c r="H4" s="407"/>
      <c r="I4" s="407"/>
      <c r="J4" s="407"/>
    </row>
    <row r="5" spans="1:10" ht="31.5" customHeight="1">
      <c r="A5" s="1713" t="s">
        <v>662</v>
      </c>
      <c r="B5" s="741">
        <v>18000</v>
      </c>
      <c r="C5" s="741"/>
      <c r="D5" s="740"/>
      <c r="E5" s="741">
        <v>14000000</v>
      </c>
      <c r="F5" s="1702">
        <f>SUM(C5:E5)</f>
        <v>14000000</v>
      </c>
      <c r="G5" s="812">
        <f>F5/(B5*1000)</f>
        <v>0.78</v>
      </c>
      <c r="H5" s="406"/>
      <c r="I5" s="406"/>
      <c r="J5" s="406"/>
    </row>
    <row r="6" spans="1:10" ht="31.5" customHeight="1" thickBot="1">
      <c r="A6" s="1710" t="s">
        <v>270</v>
      </c>
      <c r="B6" s="842">
        <f>SUM(B5:B5)</f>
        <v>18000</v>
      </c>
      <c r="C6" s="842">
        <f>SUM(C5:C5)</f>
        <v>0</v>
      </c>
      <c r="D6" s="842">
        <f>SUM(D5:D5)</f>
        <v>0</v>
      </c>
      <c r="E6" s="842">
        <f>SUM(E5:E5)</f>
        <v>14000000</v>
      </c>
      <c r="F6" s="1711">
        <f>SUM(C6:E6)</f>
        <v>14000000</v>
      </c>
      <c r="G6" s="824">
        <f>F6/(B6*1000)</f>
        <v>0.78</v>
      </c>
      <c r="H6" s="407"/>
      <c r="I6" s="407"/>
      <c r="J6" s="407"/>
    </row>
    <row r="7" spans="1:10" ht="31.5" customHeight="1" thickBot="1">
      <c r="A7" s="743" t="s">
        <v>583</v>
      </c>
      <c r="B7" s="1703">
        <f>B4+B6</f>
        <v>18500</v>
      </c>
      <c r="C7" s="1703">
        <f>C4+C6</f>
        <v>0</v>
      </c>
      <c r="D7" s="1703">
        <f>D4+D6</f>
        <v>0</v>
      </c>
      <c r="E7" s="1703">
        <f>E4+E6</f>
        <v>14500000</v>
      </c>
      <c r="F7" s="1704">
        <f>SUM(C7:E7)</f>
        <v>14500000</v>
      </c>
      <c r="G7" s="828">
        <f>F7/(B7*1000)</f>
        <v>0.78</v>
      </c>
      <c r="H7" s="407"/>
      <c r="I7" s="407"/>
      <c r="J7" s="407"/>
    </row>
    <row r="8" spans="1:10" ht="15.75">
      <c r="A8" s="744"/>
      <c r="B8" s="745"/>
      <c r="C8" s="745"/>
      <c r="D8" s="745"/>
      <c r="E8" s="745"/>
      <c r="F8" s="745"/>
      <c r="G8" s="744"/>
      <c r="H8" s="175"/>
      <c r="I8" s="175"/>
      <c r="J8" s="175"/>
    </row>
  </sheetData>
  <sheetProtection/>
  <mergeCells count="4">
    <mergeCell ref="A1:A2"/>
    <mergeCell ref="G1:G2"/>
    <mergeCell ref="B1:B2"/>
    <mergeCell ref="C1:F1"/>
  </mergeCells>
  <printOptions/>
  <pageMargins left="0.7874015748031497" right="0.7874015748031497" top="0.984251968503937" bottom="0.984251968503937" header="0.31496062992125984" footer="0.5118110236220472"/>
  <pageSetup fitToHeight="1" fitToWidth="1" horizontalDpi="600" verticalDpi="600" orientation="landscape" paperSize="9" scale="90" r:id="rId1"/>
  <headerFooter alignWithMargins="0">
    <oddHeader>&amp;CBUDAPEST FŐVÁROS XX. KERÜLET
 PESTERZSÉBETI POLGÁRMESTERI HIVATAL  ÁLTAL
 FOLYÓSÍTOTT, PÉNZBEN ÉS TERMÉSZETBEN NYÚJTOTT SZOCIÁLIS ELLÁTÁSOK 
2017. ÉV &amp;R3.3. sz.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49">
    <pageSetUpPr fitToPage="1"/>
  </sheetPr>
  <dimension ref="A1:H33"/>
  <sheetViews>
    <sheetView zoomScalePageLayoutView="0" workbookViewId="0" topLeftCell="B1">
      <pane ySplit="1" topLeftCell="A2" activePane="bottomLeft" state="frozen"/>
      <selection pane="topLeft" activeCell="B36" sqref="B36"/>
      <selection pane="bottomLeft" activeCell="E5" sqref="E5"/>
    </sheetView>
  </sheetViews>
  <sheetFormatPr defaultColWidth="9.140625" defaultRowHeight="12.75"/>
  <cols>
    <col min="1" max="1" width="9.140625" style="108" customWidth="1"/>
    <col min="2" max="2" width="46.57421875" style="108" bestFit="1" customWidth="1"/>
    <col min="3" max="3" width="12.7109375" style="275" customWidth="1"/>
    <col min="4" max="4" width="13.7109375" style="108" customWidth="1"/>
    <col min="5" max="5" width="11.8515625" style="108" customWidth="1"/>
    <col min="6" max="6" width="16.7109375" style="108" customWidth="1"/>
    <col min="7" max="7" width="12.8515625" style="108" customWidth="1"/>
    <col min="8" max="8" width="12.140625" style="108" customWidth="1"/>
    <col min="9" max="16384" width="9.140625" style="108" customWidth="1"/>
  </cols>
  <sheetData>
    <row r="1" spans="1:8" s="95" customFormat="1" ht="12.75" customHeight="1">
      <c r="A1" s="1912" t="s">
        <v>569</v>
      </c>
      <c r="B1" s="1914" t="s">
        <v>728</v>
      </c>
      <c r="C1" s="1862" t="s">
        <v>1065</v>
      </c>
      <c r="D1" s="1859" t="s">
        <v>1050</v>
      </c>
      <c r="E1" s="1860"/>
      <c r="F1" s="1860"/>
      <c r="G1" s="1861"/>
      <c r="H1" s="1864" t="s">
        <v>1051</v>
      </c>
    </row>
    <row r="2" spans="1:8" s="95" customFormat="1" ht="38.25" customHeight="1" thickBot="1">
      <c r="A2" s="1913"/>
      <c r="B2" s="1915"/>
      <c r="C2" s="1863"/>
      <c r="D2" s="1122" t="s">
        <v>287</v>
      </c>
      <c r="E2" s="1122" t="s">
        <v>795</v>
      </c>
      <c r="F2" s="1122" t="s">
        <v>796</v>
      </c>
      <c r="G2" s="1122" t="s">
        <v>65</v>
      </c>
      <c r="H2" s="1865"/>
    </row>
    <row r="3" spans="1:8" s="529" customFormat="1" ht="15" customHeight="1">
      <c r="A3" s="723" t="s">
        <v>646</v>
      </c>
      <c r="B3" s="724" t="s">
        <v>114</v>
      </c>
      <c r="C3" s="545">
        <f>C4+C8</f>
        <v>195</v>
      </c>
      <c r="D3" s="545">
        <f>D4+D8</f>
        <v>0</v>
      </c>
      <c r="E3" s="545">
        <f>E4+E8</f>
        <v>0</v>
      </c>
      <c r="F3" s="545">
        <f>F4+F8</f>
        <v>0</v>
      </c>
      <c r="G3" s="545">
        <f>SUM(D3:F3)</f>
        <v>0</v>
      </c>
      <c r="H3" s="725"/>
    </row>
    <row r="4" spans="1:8" s="281" customFormat="1" ht="15" customHeight="1">
      <c r="A4" s="752"/>
      <c r="B4" s="753" t="s">
        <v>634</v>
      </c>
      <c r="C4" s="383">
        <f>SUM(C5:C7)</f>
        <v>70</v>
      </c>
      <c r="D4" s="383">
        <f>SUM(D5:D7)</f>
        <v>0</v>
      </c>
      <c r="E4" s="383">
        <f>SUM(E5:E7)</f>
        <v>0</v>
      </c>
      <c r="F4" s="383">
        <f>SUM(F5:F7)</f>
        <v>0</v>
      </c>
      <c r="G4" s="383">
        <f aca="true" t="shared" si="0" ref="G4:G28">SUM(D4:F4)</f>
        <v>0</v>
      </c>
      <c r="H4" s="531"/>
    </row>
    <row r="5" spans="1:8" s="95" customFormat="1" ht="15" customHeight="1">
      <c r="A5" s="386"/>
      <c r="B5" s="750" t="s">
        <v>218</v>
      </c>
      <c r="C5" s="382">
        <v>55</v>
      </c>
      <c r="D5" s="382"/>
      <c r="E5" s="382"/>
      <c r="F5" s="382"/>
      <c r="G5" s="382">
        <f t="shared" si="0"/>
        <v>0</v>
      </c>
      <c r="H5" s="532"/>
    </row>
    <row r="6" spans="1:8" s="95" customFormat="1" ht="15" customHeight="1">
      <c r="A6" s="386"/>
      <c r="B6" s="750" t="s">
        <v>219</v>
      </c>
      <c r="C6" s="382">
        <v>8</v>
      </c>
      <c r="D6" s="382"/>
      <c r="E6" s="382"/>
      <c r="F6" s="382"/>
      <c r="G6" s="382">
        <f t="shared" si="0"/>
        <v>0</v>
      </c>
      <c r="H6" s="532"/>
    </row>
    <row r="7" spans="1:8" s="95" customFormat="1" ht="15" customHeight="1">
      <c r="A7" s="386"/>
      <c r="B7" s="750" t="s">
        <v>220</v>
      </c>
      <c r="C7" s="382">
        <v>7</v>
      </c>
      <c r="D7" s="382"/>
      <c r="E7" s="382"/>
      <c r="F7" s="382"/>
      <c r="G7" s="382">
        <f t="shared" si="0"/>
        <v>0</v>
      </c>
      <c r="H7" s="532"/>
    </row>
    <row r="8" spans="1:8" s="292" customFormat="1" ht="15" customHeight="1">
      <c r="A8" s="559"/>
      <c r="B8" s="530" t="s">
        <v>585</v>
      </c>
      <c r="C8" s="381">
        <f>SUM(C9:C11)</f>
        <v>125</v>
      </c>
      <c r="D8" s="381">
        <f>SUM(D9:D11)</f>
        <v>0</v>
      </c>
      <c r="E8" s="381">
        <f>SUM(E9:E11)</f>
        <v>0</v>
      </c>
      <c r="F8" s="381">
        <f>SUM(F9:F11)</f>
        <v>0</v>
      </c>
      <c r="G8" s="381">
        <f t="shared" si="0"/>
        <v>0</v>
      </c>
      <c r="H8" s="536"/>
    </row>
    <row r="9" spans="1:8" s="95" customFormat="1" ht="15" customHeight="1">
      <c r="A9" s="386"/>
      <c r="B9" s="751" t="s">
        <v>221</v>
      </c>
      <c r="C9" s="382">
        <v>12</v>
      </c>
      <c r="D9" s="382"/>
      <c r="E9" s="382"/>
      <c r="F9" s="382"/>
      <c r="G9" s="385">
        <f t="shared" si="0"/>
        <v>0</v>
      </c>
      <c r="H9" s="532"/>
    </row>
    <row r="10" spans="1:8" s="95" customFormat="1" ht="15" customHeight="1">
      <c r="A10" s="386"/>
      <c r="B10" s="751" t="s">
        <v>222</v>
      </c>
      <c r="C10" s="382">
        <v>39</v>
      </c>
      <c r="D10" s="382"/>
      <c r="E10" s="382"/>
      <c r="F10" s="382"/>
      <c r="G10" s="385">
        <f t="shared" si="0"/>
        <v>0</v>
      </c>
      <c r="H10" s="532"/>
    </row>
    <row r="11" spans="1:8" s="95" customFormat="1" ht="15" customHeight="1" thickBot="1">
      <c r="A11" s="387"/>
      <c r="B11" s="754" t="s">
        <v>223</v>
      </c>
      <c r="C11" s="402">
        <v>74</v>
      </c>
      <c r="D11" s="402"/>
      <c r="E11" s="402"/>
      <c r="F11" s="402"/>
      <c r="G11" s="403">
        <f t="shared" si="0"/>
        <v>0</v>
      </c>
      <c r="H11" s="544"/>
    </row>
    <row r="12" spans="1:8" s="529" customFormat="1" ht="15" customHeight="1">
      <c r="A12" s="534" t="s">
        <v>570</v>
      </c>
      <c r="B12" s="535" t="s">
        <v>648</v>
      </c>
      <c r="C12" s="546">
        <f>C13+C15+C17+C19+C21</f>
        <v>137</v>
      </c>
      <c r="D12" s="546">
        <f>D13+D15+D17+D19+D21</f>
        <v>0</v>
      </c>
      <c r="E12" s="546">
        <f>E13+E15+E17+E18+E21</f>
        <v>0</v>
      </c>
      <c r="F12" s="546">
        <f>F13+F15+F17+F19+F21</f>
        <v>0</v>
      </c>
      <c r="G12" s="546">
        <f t="shared" si="0"/>
        <v>0</v>
      </c>
      <c r="H12" s="722"/>
    </row>
    <row r="13" spans="1:8" s="292" customFormat="1" ht="15" customHeight="1">
      <c r="A13" s="493"/>
      <c r="B13" s="530" t="s">
        <v>649</v>
      </c>
      <c r="C13" s="381">
        <f>C14</f>
        <v>5</v>
      </c>
      <c r="D13" s="381">
        <f>D14</f>
        <v>0</v>
      </c>
      <c r="E13" s="381">
        <f>E14</f>
        <v>0</v>
      </c>
      <c r="F13" s="381">
        <f>F14</f>
        <v>0</v>
      </c>
      <c r="G13" s="381">
        <f t="shared" si="0"/>
        <v>0</v>
      </c>
      <c r="H13" s="531"/>
    </row>
    <row r="14" spans="1:8" s="95" customFormat="1" ht="15" customHeight="1">
      <c r="A14" s="493"/>
      <c r="B14" s="751" t="s">
        <v>224</v>
      </c>
      <c r="C14" s="382">
        <v>5</v>
      </c>
      <c r="D14" s="382"/>
      <c r="E14" s="382"/>
      <c r="F14" s="382"/>
      <c r="G14" s="382">
        <f t="shared" si="0"/>
        <v>0</v>
      </c>
      <c r="H14" s="532"/>
    </row>
    <row r="15" spans="1:8" s="292" customFormat="1" ht="15" customHeight="1">
      <c r="A15" s="493"/>
      <c r="B15" s="525" t="s">
        <v>650</v>
      </c>
      <c r="C15" s="381">
        <f>C16</f>
        <v>14</v>
      </c>
      <c r="D15" s="381">
        <f>D16</f>
        <v>0</v>
      </c>
      <c r="E15" s="381">
        <f>E16</f>
        <v>0</v>
      </c>
      <c r="F15" s="381">
        <f>F16</f>
        <v>0</v>
      </c>
      <c r="G15" s="381">
        <f>SUM(D15:F15)</f>
        <v>0</v>
      </c>
      <c r="H15" s="532"/>
    </row>
    <row r="16" spans="1:8" s="95" customFormat="1" ht="12.75">
      <c r="A16" s="493"/>
      <c r="B16" s="751" t="s">
        <v>225</v>
      </c>
      <c r="C16" s="382">
        <v>14</v>
      </c>
      <c r="D16" s="382"/>
      <c r="E16" s="382"/>
      <c r="F16" s="382"/>
      <c r="G16" s="382">
        <f t="shared" si="0"/>
        <v>0</v>
      </c>
      <c r="H16" s="532"/>
    </row>
    <row r="17" spans="1:8" s="292" customFormat="1" ht="15" customHeight="1">
      <c r="A17" s="493"/>
      <c r="B17" s="530" t="s">
        <v>586</v>
      </c>
      <c r="C17" s="381">
        <f>C18</f>
        <v>14</v>
      </c>
      <c r="D17" s="381">
        <f>D18</f>
        <v>0</v>
      </c>
      <c r="E17" s="381">
        <f>E18</f>
        <v>0</v>
      </c>
      <c r="F17" s="381">
        <f>F18</f>
        <v>0</v>
      </c>
      <c r="G17" s="381">
        <f t="shared" si="0"/>
        <v>0</v>
      </c>
      <c r="H17" s="536"/>
    </row>
    <row r="18" spans="1:8" s="95" customFormat="1" ht="15" customHeight="1">
      <c r="A18" s="493"/>
      <c r="B18" s="751" t="s">
        <v>226</v>
      </c>
      <c r="C18" s="382">
        <v>14</v>
      </c>
      <c r="D18" s="382"/>
      <c r="E18" s="381">
        <f>E20</f>
        <v>0</v>
      </c>
      <c r="F18" s="382"/>
      <c r="G18" s="382">
        <f t="shared" si="0"/>
        <v>0</v>
      </c>
      <c r="H18" s="532"/>
    </row>
    <row r="19" spans="1:8" s="292" customFormat="1" ht="25.5">
      <c r="A19" s="493"/>
      <c r="B19" s="530" t="s">
        <v>587</v>
      </c>
      <c r="C19" s="381">
        <f>C20</f>
        <v>9</v>
      </c>
      <c r="D19" s="381">
        <f>D20</f>
        <v>0</v>
      </c>
      <c r="F19" s="381">
        <f>F20</f>
        <v>0</v>
      </c>
      <c r="G19" s="381">
        <f t="shared" si="0"/>
        <v>0</v>
      </c>
      <c r="H19" s="536"/>
    </row>
    <row r="20" spans="1:8" s="95" customFormat="1" ht="15" customHeight="1">
      <c r="A20" s="493"/>
      <c r="B20" s="751" t="s">
        <v>227</v>
      </c>
      <c r="C20" s="533">
        <v>9</v>
      </c>
      <c r="D20" s="382"/>
      <c r="E20" s="382"/>
      <c r="F20" s="384"/>
      <c r="G20" s="382">
        <f t="shared" si="0"/>
        <v>0</v>
      </c>
      <c r="H20" s="532"/>
    </row>
    <row r="21" spans="1:8" s="292" customFormat="1" ht="15" customHeight="1">
      <c r="A21" s="493"/>
      <c r="B21" s="530" t="s">
        <v>588</v>
      </c>
      <c r="C21" s="381">
        <f>SUM(C22:C28)</f>
        <v>95</v>
      </c>
      <c r="D21" s="381">
        <f>SUM(D22:D28)</f>
        <v>0</v>
      </c>
      <c r="E21" s="381">
        <f>SUM(E22:E28)</f>
        <v>0</v>
      </c>
      <c r="F21" s="381">
        <f>SUM(F22:F28)</f>
        <v>0</v>
      </c>
      <c r="G21" s="381">
        <f t="shared" si="0"/>
        <v>0</v>
      </c>
      <c r="H21" s="536"/>
    </row>
    <row r="22" spans="1:8" s="95" customFormat="1" ht="15" customHeight="1">
      <c r="A22" s="493"/>
      <c r="B22" s="751" t="s">
        <v>230</v>
      </c>
      <c r="C22" s="382">
        <v>6</v>
      </c>
      <c r="D22" s="382"/>
      <c r="E22" s="382"/>
      <c r="F22" s="382"/>
      <c r="G22" s="382">
        <f t="shared" si="0"/>
        <v>0</v>
      </c>
      <c r="H22" s="532"/>
    </row>
    <row r="23" spans="1:8" s="95" customFormat="1" ht="15" customHeight="1">
      <c r="A23" s="493"/>
      <c r="B23" s="751" t="s">
        <v>231</v>
      </c>
      <c r="C23" s="382">
        <v>5</v>
      </c>
      <c r="D23" s="382"/>
      <c r="E23" s="382"/>
      <c r="F23" s="382"/>
      <c r="G23" s="382">
        <f t="shared" si="0"/>
        <v>0</v>
      </c>
      <c r="H23" s="532"/>
    </row>
    <row r="24" spans="1:8" s="95" customFormat="1" ht="15" customHeight="1">
      <c r="A24" s="493"/>
      <c r="B24" s="751" t="s">
        <v>232</v>
      </c>
      <c r="C24" s="382">
        <v>52</v>
      </c>
      <c r="D24" s="382"/>
      <c r="E24" s="382"/>
      <c r="F24" s="382"/>
      <c r="G24" s="382">
        <f t="shared" si="0"/>
        <v>0</v>
      </c>
      <c r="H24" s="532"/>
    </row>
    <row r="25" spans="1:8" s="95" customFormat="1" ht="15" customHeight="1">
      <c r="A25" s="493"/>
      <c r="B25" s="751" t="s">
        <v>233</v>
      </c>
      <c r="C25" s="382">
        <v>13</v>
      </c>
      <c r="D25" s="382"/>
      <c r="E25" s="382"/>
      <c r="F25" s="382"/>
      <c r="G25" s="382">
        <f t="shared" si="0"/>
        <v>0</v>
      </c>
      <c r="H25" s="532"/>
    </row>
    <row r="26" spans="1:8" s="95" customFormat="1" ht="15" customHeight="1">
      <c r="A26" s="493"/>
      <c r="B26" s="751" t="s">
        <v>228</v>
      </c>
      <c r="C26" s="382">
        <v>7</v>
      </c>
      <c r="D26" s="382"/>
      <c r="E26" s="382"/>
      <c r="F26" s="382"/>
      <c r="G26" s="382">
        <f t="shared" si="0"/>
        <v>0</v>
      </c>
      <c r="H26" s="532"/>
    </row>
    <row r="27" spans="1:8" s="95" customFormat="1" ht="15" customHeight="1">
      <c r="A27" s="493"/>
      <c r="B27" s="751" t="s">
        <v>234</v>
      </c>
      <c r="C27" s="382">
        <v>5</v>
      </c>
      <c r="D27" s="382"/>
      <c r="E27" s="382"/>
      <c r="F27" s="382">
        <f>SUM(F28:F28)</f>
        <v>0</v>
      </c>
      <c r="G27" s="382">
        <f t="shared" si="0"/>
        <v>0</v>
      </c>
      <c r="H27" s="532"/>
    </row>
    <row r="28" spans="1:8" s="95" customFormat="1" ht="15" customHeight="1" thickBot="1">
      <c r="A28" s="892"/>
      <c r="B28" s="754" t="s">
        <v>229</v>
      </c>
      <c r="C28" s="402">
        <v>7</v>
      </c>
      <c r="D28" s="402"/>
      <c r="E28" s="402"/>
      <c r="F28" s="402"/>
      <c r="G28" s="402">
        <f t="shared" si="0"/>
        <v>0</v>
      </c>
      <c r="H28" s="544"/>
    </row>
    <row r="29" spans="2:3" s="95" customFormat="1" ht="13.5" thickBot="1">
      <c r="B29" s="108"/>
      <c r="C29" s="273"/>
    </row>
    <row r="30" spans="1:8" s="95" customFormat="1" ht="15" customHeight="1" thickBot="1">
      <c r="A30" s="539"/>
      <c r="B30" s="1911" t="s">
        <v>19</v>
      </c>
      <c r="C30" s="1911"/>
      <c r="D30" s="390"/>
      <c r="E30" s="390"/>
      <c r="F30" s="390"/>
      <c r="G30" s="390"/>
      <c r="H30" s="540"/>
    </row>
    <row r="31" spans="1:8" s="95" customFormat="1" ht="15" customHeight="1">
      <c r="A31" s="541"/>
      <c r="B31" s="538" t="s">
        <v>659</v>
      </c>
      <c r="C31" s="401">
        <f>C3+C12</f>
        <v>332</v>
      </c>
      <c r="D31" s="401">
        <f>D3+D12</f>
        <v>0</v>
      </c>
      <c r="E31" s="401">
        <f>E3+E12</f>
        <v>0</v>
      </c>
      <c r="F31" s="401">
        <f>F3+F12</f>
        <v>0</v>
      </c>
      <c r="G31" s="401">
        <f>SUM(D31:F31)</f>
        <v>0</v>
      </c>
      <c r="H31" s="542"/>
    </row>
    <row r="32" spans="1:8" s="95" customFormat="1" ht="15" customHeight="1" thickBot="1">
      <c r="A32" s="543"/>
      <c r="B32" s="388" t="s">
        <v>660</v>
      </c>
      <c r="C32" s="402"/>
      <c r="D32" s="402"/>
      <c r="E32" s="402"/>
      <c r="F32" s="402"/>
      <c r="G32" s="402">
        <f>SUM(D32:F32)</f>
        <v>0</v>
      </c>
      <c r="H32" s="544"/>
    </row>
    <row r="33" spans="1:8" s="95" customFormat="1" ht="15" customHeight="1" thickBot="1">
      <c r="A33" s="539"/>
      <c r="B33" s="390" t="s">
        <v>19</v>
      </c>
      <c r="C33" s="389">
        <f>SUM(C31:C32)</f>
        <v>332</v>
      </c>
      <c r="D33" s="389">
        <f>SUM(D31:D32)</f>
        <v>0</v>
      </c>
      <c r="E33" s="389">
        <f>SUM(E31:E32)</f>
        <v>0</v>
      </c>
      <c r="F33" s="389">
        <f>SUM(F31:F32)</f>
        <v>0</v>
      </c>
      <c r="G33" s="389">
        <f>SUM(G31:G32)</f>
        <v>0</v>
      </c>
      <c r="H33" s="537"/>
    </row>
  </sheetData>
  <sheetProtection/>
  <mergeCells count="6">
    <mergeCell ref="H1:H2"/>
    <mergeCell ref="B30:C30"/>
    <mergeCell ref="A1:A2"/>
    <mergeCell ref="B1:B2"/>
    <mergeCell ref="C1:C2"/>
    <mergeCell ref="D1:G1"/>
  </mergeCells>
  <printOptions horizontalCentered="1"/>
  <pageMargins left="0.3937007874015748" right="0.3937007874015748" top="1.1811023622047245" bottom="1.1811023622047245" header="0.5118110236220472" footer="0.5118110236220472"/>
  <pageSetup fitToHeight="2" fitToWidth="1" orientation="portrait" paperSize="9" scale="71" r:id="rId1"/>
  <headerFooter alignWithMargins="0">
    <oddHeader>&amp;C&amp;"Times New Roman,Normál"
BUDAPEST FŐVÁROS XX. KERÜLET PESTERZSÉBETI POLGÁRMESTERI HIVATAL 2017. ÉVI ÁTADOTT PÉNZESZKÖZEI&amp;R&amp;"Times New Roman,Normál"3.4. sz. melléklet&amp;"MS Sans Serif,Normál"
</oddHead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59">
    <pageSetUpPr fitToPage="1"/>
  </sheetPr>
  <dimension ref="A1:H39"/>
  <sheetViews>
    <sheetView zoomScale="80" zoomScaleNormal="80" zoomScalePageLayoutView="0" workbookViewId="0" topLeftCell="A1">
      <pane ySplit="1" topLeftCell="A17" activePane="bottomLeft" state="frozen"/>
      <selection pane="topLeft" activeCell="A5" sqref="A5"/>
      <selection pane="bottomLeft" activeCell="G48" sqref="G48"/>
    </sheetView>
  </sheetViews>
  <sheetFormatPr defaultColWidth="9.140625" defaultRowHeight="12.75"/>
  <cols>
    <col min="1" max="1" width="7.00390625" style="694" bestFit="1" customWidth="1"/>
    <col min="2" max="2" width="71.8515625" style="694" customWidth="1"/>
    <col min="3" max="8" width="18.7109375" style="694" customWidth="1"/>
    <col min="9" max="16384" width="9.140625" style="82" customWidth="1"/>
  </cols>
  <sheetData>
    <row r="1" spans="1:8" ht="13.5" customHeight="1">
      <c r="A1" s="1916" t="s">
        <v>523</v>
      </c>
      <c r="B1" s="1906" t="s">
        <v>140</v>
      </c>
      <c r="C1" s="1862" t="s">
        <v>1065</v>
      </c>
      <c r="D1" s="1859" t="s">
        <v>1050</v>
      </c>
      <c r="E1" s="1860"/>
      <c r="F1" s="1860"/>
      <c r="G1" s="1861"/>
      <c r="H1" s="1864" t="s">
        <v>1051</v>
      </c>
    </row>
    <row r="2" spans="1:8" ht="39" thickBot="1">
      <c r="A2" s="1917"/>
      <c r="B2" s="1907"/>
      <c r="C2" s="1863"/>
      <c r="D2" s="1122" t="s">
        <v>287</v>
      </c>
      <c r="E2" s="1122" t="s">
        <v>795</v>
      </c>
      <c r="F2" s="1122" t="s">
        <v>796</v>
      </c>
      <c r="G2" s="1122" t="s">
        <v>65</v>
      </c>
      <c r="H2" s="1865"/>
    </row>
    <row r="3" spans="1:8" ht="19.5" customHeight="1">
      <c r="A3" s="707" t="s">
        <v>213</v>
      </c>
      <c r="B3" s="708" t="s">
        <v>214</v>
      </c>
      <c r="C3" s="709">
        <f>SUM(C4:C10)</f>
        <v>6100</v>
      </c>
      <c r="D3" s="709">
        <f>SUM(D4:D10)</f>
        <v>4020000</v>
      </c>
      <c r="E3" s="709">
        <f>SUM(E4:E10)</f>
        <v>0</v>
      </c>
      <c r="F3" s="709">
        <f>SUM(F4:F10)</f>
        <v>0</v>
      </c>
      <c r="G3" s="709">
        <f aca="true" t="shared" si="0" ref="G3:G39">SUM(D3:F3)</f>
        <v>4020000</v>
      </c>
      <c r="H3" s="721">
        <f>+G3/(C3*1000)</f>
        <v>0.66</v>
      </c>
    </row>
    <row r="4" spans="1:8" ht="19.5" customHeight="1">
      <c r="A4" s="710"/>
      <c r="B4" s="711" t="s">
        <v>1078</v>
      </c>
      <c r="C4" s="696">
        <v>5000</v>
      </c>
      <c r="D4" s="696"/>
      <c r="E4" s="712"/>
      <c r="F4" s="712"/>
      <c r="G4" s="713">
        <f t="shared" si="0"/>
        <v>0</v>
      </c>
      <c r="H4" s="698">
        <f aca="true" t="shared" si="1" ref="H4:H39">+G4/(C4*1000)</f>
        <v>0</v>
      </c>
    </row>
    <row r="5" spans="1:8" ht="19.5" customHeight="1">
      <c r="A5" s="710"/>
      <c r="B5" s="711" t="s">
        <v>1079</v>
      </c>
      <c r="C5" s="696">
        <v>740</v>
      </c>
      <c r="D5" s="696"/>
      <c r="E5" s="712"/>
      <c r="F5" s="712"/>
      <c r="G5" s="713">
        <f t="shared" si="0"/>
        <v>0</v>
      </c>
      <c r="H5" s="698">
        <f t="shared" si="1"/>
        <v>0</v>
      </c>
    </row>
    <row r="6" spans="1:8" ht="19.5" customHeight="1">
      <c r="A6" s="710"/>
      <c r="B6" s="711" t="s">
        <v>945</v>
      </c>
      <c r="C6" s="696">
        <v>360</v>
      </c>
      <c r="D6" s="696"/>
      <c r="E6" s="712"/>
      <c r="F6" s="712"/>
      <c r="G6" s="713">
        <f t="shared" si="0"/>
        <v>0</v>
      </c>
      <c r="H6" s="698">
        <f t="shared" si="1"/>
        <v>0</v>
      </c>
    </row>
    <row r="7" spans="1:8" ht="19.5" customHeight="1">
      <c r="A7" s="710"/>
      <c r="B7" s="711" t="s">
        <v>1081</v>
      </c>
      <c r="C7" s="696"/>
      <c r="D7" s="712">
        <v>920000</v>
      </c>
      <c r="E7" s="712"/>
      <c r="F7" s="712"/>
      <c r="G7" s="713">
        <f t="shared" si="0"/>
        <v>920000</v>
      </c>
      <c r="H7" s="698"/>
    </row>
    <row r="8" spans="1:8" ht="19.5" customHeight="1">
      <c r="A8" s="710"/>
      <c r="B8" s="711" t="s">
        <v>1080</v>
      </c>
      <c r="C8" s="696"/>
      <c r="D8" s="712">
        <v>500000</v>
      </c>
      <c r="E8" s="712"/>
      <c r="F8" s="712"/>
      <c r="G8" s="713">
        <f t="shared" si="0"/>
        <v>500000</v>
      </c>
      <c r="H8" s="698"/>
    </row>
    <row r="9" spans="1:8" ht="19.5" customHeight="1">
      <c r="A9" s="710"/>
      <c r="B9" s="711" t="s">
        <v>1082</v>
      </c>
      <c r="C9" s="696"/>
      <c r="D9" s="712">
        <v>2000000</v>
      </c>
      <c r="E9" s="712"/>
      <c r="F9" s="712"/>
      <c r="G9" s="713">
        <f t="shared" si="0"/>
        <v>2000000</v>
      </c>
      <c r="H9" s="698"/>
    </row>
    <row r="10" spans="1:8" ht="19.5" customHeight="1">
      <c r="A10" s="710"/>
      <c r="B10" s="711" t="s">
        <v>1110</v>
      </c>
      <c r="C10" s="696">
        <v>0</v>
      </c>
      <c r="D10" s="712">
        <v>600000</v>
      </c>
      <c r="E10" s="712"/>
      <c r="F10" s="712"/>
      <c r="G10" s="696">
        <f t="shared" si="0"/>
        <v>600000</v>
      </c>
      <c r="H10" s="698"/>
    </row>
    <row r="11" spans="1:8" ht="19.5" customHeight="1">
      <c r="A11" s="714" t="s">
        <v>215</v>
      </c>
      <c r="B11" s="691" t="s">
        <v>590</v>
      </c>
      <c r="C11" s="700">
        <f>SUM(C12:C15)</f>
        <v>485</v>
      </c>
      <c r="D11" s="700">
        <f>SUM(D12:D15)</f>
        <v>10000000</v>
      </c>
      <c r="E11" s="700">
        <f>SUM(E12:E15)</f>
        <v>0</v>
      </c>
      <c r="F11" s="700">
        <f>SUM(F12:F15)</f>
        <v>0</v>
      </c>
      <c r="G11" s="700">
        <f t="shared" si="0"/>
        <v>10000000</v>
      </c>
      <c r="H11" s="701">
        <f t="shared" si="1"/>
        <v>20.62</v>
      </c>
    </row>
    <row r="12" spans="1:8" ht="19.5" customHeight="1">
      <c r="A12" s="710"/>
      <c r="B12" s="711" t="s">
        <v>940</v>
      </c>
      <c r="C12" s="696">
        <v>50</v>
      </c>
      <c r="D12" s="696"/>
      <c r="E12" s="712"/>
      <c r="F12" s="712"/>
      <c r="G12" s="696">
        <f t="shared" si="0"/>
        <v>0</v>
      </c>
      <c r="H12" s="698">
        <f t="shared" si="1"/>
        <v>0</v>
      </c>
    </row>
    <row r="13" spans="1:8" ht="19.5" customHeight="1">
      <c r="A13" s="710"/>
      <c r="B13" s="711" t="s">
        <v>942</v>
      </c>
      <c r="C13" s="696">
        <v>243</v>
      </c>
      <c r="D13" s="696"/>
      <c r="E13" s="712"/>
      <c r="F13" s="712"/>
      <c r="G13" s="696">
        <f t="shared" si="0"/>
        <v>0</v>
      </c>
      <c r="H13" s="698">
        <f t="shared" si="1"/>
        <v>0</v>
      </c>
    </row>
    <row r="14" spans="1:8" ht="19.5" customHeight="1">
      <c r="A14" s="710"/>
      <c r="B14" s="711" t="s">
        <v>941</v>
      </c>
      <c r="C14" s="696">
        <v>192</v>
      </c>
      <c r="D14" s="696"/>
      <c r="E14" s="712"/>
      <c r="F14" s="712"/>
      <c r="G14" s="696">
        <f t="shared" si="0"/>
        <v>0</v>
      </c>
      <c r="H14" s="698">
        <f t="shared" si="1"/>
        <v>0</v>
      </c>
    </row>
    <row r="15" spans="1:8" ht="19.5" customHeight="1">
      <c r="A15" s="710"/>
      <c r="B15" s="711" t="s">
        <v>1096</v>
      </c>
      <c r="C15" s="696"/>
      <c r="D15" s="696">
        <v>10000000</v>
      </c>
      <c r="E15" s="712"/>
      <c r="F15" s="712"/>
      <c r="G15" s="696">
        <f t="shared" si="0"/>
        <v>10000000</v>
      </c>
      <c r="H15" s="698"/>
    </row>
    <row r="16" spans="1:8" ht="19.5" customHeight="1">
      <c r="A16" s="714" t="s">
        <v>534</v>
      </c>
      <c r="B16" s="691" t="s">
        <v>535</v>
      </c>
      <c r="C16" s="700">
        <f>SUM(C17:C27)</f>
        <v>51000</v>
      </c>
      <c r="D16" s="700">
        <f>SUM(D17:D27)</f>
        <v>40500000</v>
      </c>
      <c r="E16" s="700">
        <f>SUM(E17:E27)</f>
        <v>0</v>
      </c>
      <c r="F16" s="700">
        <f>SUM(F17:F27)</f>
        <v>0</v>
      </c>
      <c r="G16" s="700">
        <f t="shared" si="0"/>
        <v>40500000</v>
      </c>
      <c r="H16" s="701">
        <f t="shared" si="1"/>
        <v>0.79</v>
      </c>
    </row>
    <row r="17" spans="1:8" ht="19.5" customHeight="1">
      <c r="A17" s="715"/>
      <c r="B17" s="690" t="s">
        <v>1084</v>
      </c>
      <c r="C17" s="696">
        <v>10000</v>
      </c>
      <c r="D17" s="696">
        <v>5000000</v>
      </c>
      <c r="E17" s="697"/>
      <c r="F17" s="697"/>
      <c r="G17" s="696">
        <f t="shared" si="0"/>
        <v>5000000</v>
      </c>
      <c r="H17" s="698">
        <f t="shared" si="1"/>
        <v>0.5</v>
      </c>
    </row>
    <row r="18" spans="1:8" ht="19.5" customHeight="1">
      <c r="A18" s="715"/>
      <c r="B18" s="690" t="s">
        <v>1083</v>
      </c>
      <c r="C18" s="696">
        <v>4500</v>
      </c>
      <c r="D18" s="696">
        <v>4500000</v>
      </c>
      <c r="E18" s="697"/>
      <c r="F18" s="697"/>
      <c r="G18" s="696">
        <f t="shared" si="0"/>
        <v>4500000</v>
      </c>
      <c r="H18" s="698">
        <f t="shared" si="1"/>
        <v>1</v>
      </c>
    </row>
    <row r="19" spans="1:8" ht="19.5" customHeight="1">
      <c r="A19" s="715"/>
      <c r="B19" s="690" t="s">
        <v>1086</v>
      </c>
      <c r="C19" s="696">
        <v>5000</v>
      </c>
      <c r="D19" s="696">
        <v>5000000</v>
      </c>
      <c r="E19" s="697"/>
      <c r="F19" s="697"/>
      <c r="G19" s="696">
        <f t="shared" si="0"/>
        <v>5000000</v>
      </c>
      <c r="H19" s="698">
        <f t="shared" si="1"/>
        <v>1</v>
      </c>
    </row>
    <row r="20" spans="1:8" ht="19.5" customHeight="1">
      <c r="A20" s="715"/>
      <c r="B20" s="690" t="s">
        <v>1085</v>
      </c>
      <c r="C20" s="696"/>
      <c r="D20" s="696">
        <v>5000000</v>
      </c>
      <c r="E20" s="697"/>
      <c r="F20" s="697"/>
      <c r="G20" s="696">
        <f t="shared" si="0"/>
        <v>5000000</v>
      </c>
      <c r="H20" s="698"/>
    </row>
    <row r="21" spans="1:8" ht="19.5" customHeight="1">
      <c r="A21" s="715"/>
      <c r="B21" s="690" t="s">
        <v>1087</v>
      </c>
      <c r="C21" s="696"/>
      <c r="D21" s="696">
        <v>3000000</v>
      </c>
      <c r="E21" s="697"/>
      <c r="F21" s="697"/>
      <c r="G21" s="696">
        <f t="shared" si="0"/>
        <v>3000000</v>
      </c>
      <c r="H21" s="698"/>
    </row>
    <row r="22" spans="1:8" ht="19.5" customHeight="1">
      <c r="A22" s="715"/>
      <c r="B22" s="690" t="s">
        <v>1088</v>
      </c>
      <c r="C22" s="696"/>
      <c r="D22" s="696">
        <v>1500000</v>
      </c>
      <c r="E22" s="697"/>
      <c r="F22" s="697"/>
      <c r="G22" s="696">
        <f t="shared" si="0"/>
        <v>1500000</v>
      </c>
      <c r="H22" s="698"/>
    </row>
    <row r="23" spans="1:8" ht="19.5" customHeight="1">
      <c r="A23" s="715"/>
      <c r="B23" s="690" t="s">
        <v>1089</v>
      </c>
      <c r="C23" s="696">
        <v>5500</v>
      </c>
      <c r="D23" s="696">
        <v>5500000</v>
      </c>
      <c r="E23" s="697"/>
      <c r="F23" s="697"/>
      <c r="G23" s="696">
        <f t="shared" si="0"/>
        <v>5500000</v>
      </c>
      <c r="H23" s="698">
        <f t="shared" si="1"/>
        <v>1</v>
      </c>
    </row>
    <row r="24" spans="1:8" ht="19.5" customHeight="1">
      <c r="A24" s="715"/>
      <c r="B24" s="998" t="s">
        <v>1090</v>
      </c>
      <c r="C24" s="696">
        <v>4000</v>
      </c>
      <c r="D24" s="696"/>
      <c r="E24" s="697"/>
      <c r="F24" s="697"/>
      <c r="G24" s="696">
        <f t="shared" si="0"/>
        <v>0</v>
      </c>
      <c r="H24" s="698">
        <f t="shared" si="1"/>
        <v>0</v>
      </c>
    </row>
    <row r="25" spans="1:8" ht="19.5" customHeight="1">
      <c r="A25" s="715"/>
      <c r="B25" s="998" t="s">
        <v>1091</v>
      </c>
      <c r="C25" s="696">
        <v>2000</v>
      </c>
      <c r="D25" s="696">
        <v>3000000</v>
      </c>
      <c r="E25" s="697"/>
      <c r="F25" s="697"/>
      <c r="G25" s="696">
        <f t="shared" si="0"/>
        <v>3000000</v>
      </c>
      <c r="H25" s="698">
        <f t="shared" si="1"/>
        <v>1.5</v>
      </c>
    </row>
    <row r="26" spans="1:8" ht="19.5" customHeight="1">
      <c r="A26" s="715"/>
      <c r="B26" s="998" t="s">
        <v>1092</v>
      </c>
      <c r="C26" s="696">
        <v>10000</v>
      </c>
      <c r="D26" s="696">
        <v>3000000</v>
      </c>
      <c r="E26" s="697"/>
      <c r="F26" s="697"/>
      <c r="G26" s="696">
        <f t="shared" si="0"/>
        <v>3000000</v>
      </c>
      <c r="H26" s="698">
        <f t="shared" si="1"/>
        <v>0.3</v>
      </c>
    </row>
    <row r="27" spans="1:8" ht="31.5" customHeight="1">
      <c r="A27" s="715"/>
      <c r="B27" s="720" t="s">
        <v>1093</v>
      </c>
      <c r="C27" s="696">
        <v>10000</v>
      </c>
      <c r="D27" s="696">
        <v>5000000</v>
      </c>
      <c r="E27" s="697"/>
      <c r="F27" s="697"/>
      <c r="G27" s="696">
        <f t="shared" si="0"/>
        <v>5000000</v>
      </c>
      <c r="H27" s="698">
        <f t="shared" si="1"/>
        <v>0.5</v>
      </c>
    </row>
    <row r="28" spans="1:8" ht="19.5" customHeight="1">
      <c r="A28" s="714" t="s">
        <v>536</v>
      </c>
      <c r="B28" s="691" t="s">
        <v>537</v>
      </c>
      <c r="C28" s="695">
        <f>SUM(C29:C37)</f>
        <v>36700</v>
      </c>
      <c r="D28" s="695">
        <f>SUM(D29:D37)</f>
        <v>36200000</v>
      </c>
      <c r="E28" s="695">
        <f>SUM(E29:E37)</f>
        <v>0</v>
      </c>
      <c r="F28" s="695">
        <f>SUM(F29:F37)</f>
        <v>0</v>
      </c>
      <c r="G28" s="702">
        <f t="shared" si="0"/>
        <v>36200000</v>
      </c>
      <c r="H28" s="701">
        <f t="shared" si="1"/>
        <v>0.99</v>
      </c>
    </row>
    <row r="29" spans="1:8" ht="19.5" customHeight="1">
      <c r="A29" s="715"/>
      <c r="B29" s="716" t="s">
        <v>1094</v>
      </c>
      <c r="C29" s="696"/>
      <c r="D29" s="696">
        <v>12000000</v>
      </c>
      <c r="E29" s="696"/>
      <c r="F29" s="696"/>
      <c r="G29" s="703">
        <f t="shared" si="0"/>
        <v>12000000</v>
      </c>
      <c r="H29" s="698"/>
    </row>
    <row r="30" spans="1:8" ht="19.5" customHeight="1">
      <c r="A30" s="715"/>
      <c r="B30" s="716" t="s">
        <v>576</v>
      </c>
      <c r="C30" s="696">
        <v>5000</v>
      </c>
      <c r="D30" s="696"/>
      <c r="E30" s="696"/>
      <c r="F30" s="696"/>
      <c r="G30" s="696">
        <f t="shared" si="0"/>
        <v>0</v>
      </c>
      <c r="H30" s="698">
        <f t="shared" si="1"/>
        <v>0</v>
      </c>
    </row>
    <row r="31" spans="1:8" ht="19.5" customHeight="1">
      <c r="A31" s="715"/>
      <c r="B31" s="716" t="s">
        <v>936</v>
      </c>
      <c r="C31" s="696">
        <v>8000</v>
      </c>
      <c r="D31" s="696"/>
      <c r="E31" s="696"/>
      <c r="F31" s="696"/>
      <c r="G31" s="703">
        <f t="shared" si="0"/>
        <v>0</v>
      </c>
      <c r="H31" s="698">
        <f t="shared" si="1"/>
        <v>0</v>
      </c>
    </row>
    <row r="32" spans="1:8" ht="19.5" customHeight="1">
      <c r="A32" s="715"/>
      <c r="B32" s="716" t="s">
        <v>584</v>
      </c>
      <c r="C32" s="696">
        <v>2000</v>
      </c>
      <c r="D32" s="696">
        <v>2500000</v>
      </c>
      <c r="E32" s="696"/>
      <c r="F32" s="696"/>
      <c r="G32" s="703">
        <f t="shared" si="0"/>
        <v>2500000</v>
      </c>
      <c r="H32" s="698">
        <f t="shared" si="1"/>
        <v>1.25</v>
      </c>
    </row>
    <row r="33" spans="1:8" ht="19.5" customHeight="1">
      <c r="A33" s="715"/>
      <c r="B33" s="716" t="s">
        <v>589</v>
      </c>
      <c r="C33" s="696">
        <v>1000</v>
      </c>
      <c r="D33" s="696"/>
      <c r="E33" s="696"/>
      <c r="F33" s="696"/>
      <c r="G33" s="696">
        <f t="shared" si="0"/>
        <v>0</v>
      </c>
      <c r="H33" s="698">
        <f t="shared" si="1"/>
        <v>0</v>
      </c>
    </row>
    <row r="34" spans="1:8" ht="19.5" customHeight="1">
      <c r="A34" s="715"/>
      <c r="B34" s="716" t="s">
        <v>1095</v>
      </c>
      <c r="C34" s="696">
        <v>4000</v>
      </c>
      <c r="D34" s="696">
        <v>5000000</v>
      </c>
      <c r="E34" s="696"/>
      <c r="F34" s="696"/>
      <c r="G34" s="717">
        <f t="shared" si="0"/>
        <v>5000000</v>
      </c>
      <c r="H34" s="698">
        <f t="shared" si="1"/>
        <v>1.25</v>
      </c>
    </row>
    <row r="35" spans="1:8" ht="19.5" customHeight="1">
      <c r="A35" s="715" t="s">
        <v>937</v>
      </c>
      <c r="B35" s="716" t="s">
        <v>938</v>
      </c>
      <c r="C35" s="696">
        <v>8000</v>
      </c>
      <c r="D35" s="696">
        <v>8000000</v>
      </c>
      <c r="E35" s="696"/>
      <c r="F35" s="696"/>
      <c r="G35" s="717">
        <f t="shared" si="0"/>
        <v>8000000</v>
      </c>
      <c r="H35" s="698">
        <f t="shared" si="1"/>
        <v>1</v>
      </c>
    </row>
    <row r="36" spans="1:8" ht="19.5" customHeight="1">
      <c r="A36" s="715"/>
      <c r="B36" s="720" t="s">
        <v>577</v>
      </c>
      <c r="C36" s="696">
        <v>4500</v>
      </c>
      <c r="D36" s="696">
        <v>4500000</v>
      </c>
      <c r="E36" s="696"/>
      <c r="F36" s="696"/>
      <c r="G36" s="717">
        <f t="shared" si="0"/>
        <v>4500000</v>
      </c>
      <c r="H36" s="698">
        <f t="shared" si="1"/>
        <v>1</v>
      </c>
    </row>
    <row r="37" spans="1:8" ht="19.5" customHeight="1">
      <c r="A37" s="715"/>
      <c r="B37" s="720" t="s">
        <v>578</v>
      </c>
      <c r="C37" s="696">
        <v>4200</v>
      </c>
      <c r="D37" s="696">
        <v>4200000</v>
      </c>
      <c r="E37" s="696"/>
      <c r="F37" s="696"/>
      <c r="G37" s="717">
        <f t="shared" si="0"/>
        <v>4200000</v>
      </c>
      <c r="H37" s="698">
        <f t="shared" si="1"/>
        <v>1</v>
      </c>
    </row>
    <row r="38" spans="1:8" ht="19.5" customHeight="1" thickBot="1">
      <c r="A38" s="718" t="s">
        <v>544</v>
      </c>
      <c r="B38" s="692" t="s">
        <v>545</v>
      </c>
      <c r="C38" s="704">
        <f>(C3+C16+C28+C11)*27%</f>
        <v>25457</v>
      </c>
      <c r="D38" s="704">
        <f>(D3+D16+D28+D11)*27%</f>
        <v>24494400</v>
      </c>
      <c r="E38" s="704">
        <f>(E3+E16+E28+E11)*27%</f>
        <v>0</v>
      </c>
      <c r="F38" s="704">
        <f>(F3+F16+F28+F11)*27%</f>
        <v>0</v>
      </c>
      <c r="G38" s="704">
        <f t="shared" si="0"/>
        <v>24494400</v>
      </c>
      <c r="H38" s="705">
        <f t="shared" si="1"/>
        <v>0.96</v>
      </c>
    </row>
    <row r="39" spans="1:8" s="503" customFormat="1" ht="35.25" customHeight="1" thickBot="1">
      <c r="A39" s="719"/>
      <c r="B39" s="693" t="s">
        <v>547</v>
      </c>
      <c r="C39" s="693">
        <f>C3+C16+C28+C38+C11</f>
        <v>119742</v>
      </c>
      <c r="D39" s="693">
        <f>D3+D16+D28+D38+D11</f>
        <v>115214400</v>
      </c>
      <c r="E39" s="693">
        <f>E3+E16+E28+E38+E11</f>
        <v>0</v>
      </c>
      <c r="F39" s="693">
        <f>F3+F16+F28+F38+F11</f>
        <v>0</v>
      </c>
      <c r="G39" s="693">
        <f t="shared" si="0"/>
        <v>115214400</v>
      </c>
      <c r="H39" s="706">
        <f t="shared" si="1"/>
        <v>0.96</v>
      </c>
    </row>
  </sheetData>
  <sheetProtection/>
  <mergeCells count="5">
    <mergeCell ref="A1:A2"/>
    <mergeCell ref="H1:H2"/>
    <mergeCell ref="C1:C2"/>
    <mergeCell ref="B1:B2"/>
    <mergeCell ref="D1:G1"/>
  </mergeCells>
  <printOptions horizontalCentered="1"/>
  <pageMargins left="0.5905511811023623" right="0.5905511811023623" top="0.984251968503937" bottom="1.1811023622047245" header="0.3937007874015748" footer="0.3937007874015748"/>
  <pageSetup fitToHeight="1" fitToWidth="1" horizontalDpi="600" verticalDpi="600" orientation="landscape" paperSize="9" scale="55" r:id="rId1"/>
  <headerFooter alignWithMargins="0">
    <oddHeader>&amp;C&amp;"Times New Roman,Normál"BUDAPEST FŐVÁROS XX. KERÜLET PESTERZSÉBETI POLGÁRMESTERI HIVATAL  2017. ÉVI BERUHÁZÁSI KIADÁSAI 
&amp;R&amp;"Times New Roman,Normál"3.5. sz. melléklet&amp;"MS Sans Serif,Normál"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M734"/>
  <sheetViews>
    <sheetView zoomScalePageLayoutView="0" workbookViewId="0" topLeftCell="A1">
      <pane ySplit="2" topLeftCell="A3" activePane="bottomLeft" state="frozen"/>
      <selection pane="topLeft" activeCell="F19" sqref="F19"/>
      <selection pane="bottomLeft" activeCell="F19" sqref="F19"/>
    </sheetView>
  </sheetViews>
  <sheetFormatPr defaultColWidth="9.140625" defaultRowHeight="12.75"/>
  <cols>
    <col min="1" max="1" width="5.28125" style="93" customWidth="1"/>
    <col min="2" max="2" width="6.00390625" style="196" customWidth="1"/>
    <col min="3" max="3" width="6.8515625" style="178" customWidth="1"/>
    <col min="4" max="4" width="41.00390625" style="93" customWidth="1"/>
    <col min="5" max="5" width="6.421875" style="179" customWidth="1"/>
    <col min="6" max="6" width="36.57421875" style="93" customWidth="1"/>
    <col min="7" max="7" width="11.8515625" style="94" bestFit="1" customWidth="1"/>
    <col min="8" max="8" width="11.421875" style="94" customWidth="1"/>
    <col min="9" max="9" width="10.8515625" style="94" bestFit="1" customWidth="1"/>
    <col min="10" max="10" width="8.421875" style="93" customWidth="1"/>
    <col min="11" max="16384" width="9.140625" style="93" customWidth="1"/>
  </cols>
  <sheetData>
    <row r="1" spans="1:12" ht="12.75" customHeight="1">
      <c r="A1" s="1737" t="s">
        <v>713</v>
      </c>
      <c r="B1" s="1739" t="s">
        <v>714</v>
      </c>
      <c r="C1" s="1741" t="s">
        <v>715</v>
      </c>
      <c r="D1" s="1737" t="s">
        <v>716</v>
      </c>
      <c r="E1" s="1737" t="s">
        <v>717</v>
      </c>
      <c r="F1" s="1737" t="s">
        <v>692</v>
      </c>
      <c r="G1" s="180" t="s">
        <v>693</v>
      </c>
      <c r="H1" s="180" t="s">
        <v>746</v>
      </c>
      <c r="I1" s="1745" t="s">
        <v>747</v>
      </c>
      <c r="J1" s="1745" t="s">
        <v>712</v>
      </c>
      <c r="K1" s="1745" t="s">
        <v>45</v>
      </c>
      <c r="L1" s="1743" t="s">
        <v>44</v>
      </c>
    </row>
    <row r="2" spans="1:12" ht="12.75">
      <c r="A2" s="1738"/>
      <c r="B2" s="1740"/>
      <c r="C2" s="1742"/>
      <c r="D2" s="1738"/>
      <c r="E2" s="1747"/>
      <c r="F2" s="1738"/>
      <c r="G2" s="184">
        <f>SUMIF(G$3:G$2193,"&gt;0")+ABS(SUMIF(G$3:G$2193,"&lt;0"))</f>
        <v>0</v>
      </c>
      <c r="H2" s="184">
        <f>SUMIF(H$3:H$2192,"&gt;0")+ABS(SUMIF(H$3:H$2192,"&lt;0"))</f>
        <v>0</v>
      </c>
      <c r="I2" s="1746"/>
      <c r="J2" s="1746"/>
      <c r="K2" s="1746"/>
      <c r="L2" s="1744"/>
    </row>
    <row r="3" spans="1:6" ht="15">
      <c r="A3" s="93" t="e">
        <f>COUNTIF(#REF!,$F3)+COUNTIF(#REF!,$F3)+COUNTIF(#REF!,$F3)+COUNTIF(#REF!,$F3)+COUNTIF(#REF!,$F3)+COUNTIF('2.8.Felúj.'!$B$1:$B$938,$F3)+COUNTIF('2.5.Céltart'!$B$3:$B$985,$F3)</f>
        <v>#REF!</v>
      </c>
      <c r="B3" s="196">
        <v>1</v>
      </c>
      <c r="D3" s="254"/>
      <c r="F3" s="101"/>
    </row>
    <row r="4" spans="1:10" ht="12.75">
      <c r="A4" s="93" t="e">
        <f>COUNTIF(#REF!,$F4)+COUNTIF(#REF!,$F4)+COUNTIF(#REF!,$F4)+COUNTIF(#REF!,$F4)+COUNTIF(#REF!,$F4)+COUNTIF('2.8.Felúj.'!$B$1:$B$938,$F4)+COUNTIF('2.5.Céltart'!$B$3:$B$985,$F4)</f>
        <v>#REF!</v>
      </c>
      <c r="B4" s="196">
        <v>2</v>
      </c>
      <c r="D4" s="254"/>
      <c r="F4" s="176"/>
      <c r="G4" s="236"/>
      <c r="H4" s="210"/>
      <c r="I4" s="210"/>
      <c r="J4" s="201"/>
    </row>
    <row r="5" spans="1:6" ht="12.75">
      <c r="A5" s="93" t="e">
        <f>COUNTIF(#REF!,$F5)+COUNTIF(#REF!,$F5)+COUNTIF(#REF!,$F5)+COUNTIF(#REF!,$F5)+COUNTIF(#REF!,$F5)+COUNTIF('2.8.Felúj.'!$B$1:$B$938,$F5)+COUNTIF('2.5.Céltart'!$B$3:$B$985,$F5)</f>
        <v>#REF!</v>
      </c>
      <c r="B5" s="196">
        <v>3</v>
      </c>
      <c r="D5" s="254"/>
      <c r="F5" s="255"/>
    </row>
    <row r="6" spans="1:6" ht="12.75">
      <c r="A6" s="93" t="e">
        <f>COUNTIF(#REF!,$F6)+COUNTIF(#REF!,$F6)+COUNTIF(#REF!,$F6)+COUNTIF(#REF!,$F6)+COUNTIF(#REF!,$F6)+COUNTIF('2.8.Felúj.'!$B$1:$B$938,$F6)+COUNTIF('2.5.Céltart'!$B$3:$B$985,$F6)</f>
        <v>#REF!</v>
      </c>
      <c r="B6" s="196">
        <v>4</v>
      </c>
      <c r="D6" s="254"/>
      <c r="F6" s="255"/>
    </row>
    <row r="7" spans="1:9" s="256" customFormat="1" ht="13.5" thickBot="1">
      <c r="A7" s="256" t="e">
        <f>COUNTIF(#REF!,$F7)+COUNTIF(#REF!,$F7)+COUNTIF(#REF!,$F7)+COUNTIF(#REF!,$F7)+COUNTIF(#REF!,$F7)+COUNTIF('2.8.Felúj.'!$B$1:$B$938,$F7)+COUNTIF('2.5.Céltart'!$B$3:$B$985,$F7)</f>
        <v>#REF!</v>
      </c>
      <c r="B7" s="257">
        <v>5</v>
      </c>
      <c r="C7" s="258"/>
      <c r="D7" s="259"/>
      <c r="E7" s="260"/>
      <c r="F7" s="261"/>
      <c r="G7" s="262"/>
      <c r="H7" s="262"/>
      <c r="I7" s="262"/>
    </row>
    <row r="8" spans="1:6" ht="15">
      <c r="A8" s="93" t="e">
        <f>COUNTIF(#REF!,$F8)+COUNTIF(#REF!,$F8)+COUNTIF(#REF!,$F8)+COUNTIF(#REF!,$F8)+COUNTIF(#REF!,$F8)+COUNTIF('2.8.Felúj.'!$B$1:$B$938,$F8)+COUNTIF('2.5.Céltart'!$B$3:$B$985,$F8)</f>
        <v>#REF!</v>
      </c>
      <c r="B8" s="196">
        <v>6</v>
      </c>
      <c r="F8" s="101"/>
    </row>
    <row r="9" spans="1:6" ht="12.75">
      <c r="A9" s="93" t="e">
        <f>COUNTIF(#REF!,$F9)+COUNTIF(#REF!,$F9)+COUNTIF(#REF!,$F9)+COUNTIF(#REF!,$F9)+COUNTIF(#REF!,$F9)+COUNTIF('2.8.Felúj.'!$B$1:$B$938,$F9)+COUNTIF('2.5.Céltart'!$B$3:$B$985,$F9)</f>
        <v>#REF!</v>
      </c>
      <c r="B9" s="196">
        <v>7</v>
      </c>
      <c r="F9" s="176"/>
    </row>
    <row r="10" spans="1:9" s="256" customFormat="1" ht="13.5" thickBot="1">
      <c r="A10" s="256" t="e">
        <f>COUNTIF(#REF!,$F10)+COUNTIF(#REF!,$F10)+COUNTIF(#REF!,$F10)+COUNTIF(#REF!,$F10)+COUNTIF(#REF!,$F10)+COUNTIF('2.8.Felúj.'!$B$1:$B$938,$F10)+COUNTIF('2.5.Céltart'!$B$3:$B$985,$F10)</f>
        <v>#REF!</v>
      </c>
      <c r="B10" s="257">
        <v>8</v>
      </c>
      <c r="C10" s="178"/>
      <c r="E10" s="260"/>
      <c r="F10" s="261"/>
      <c r="G10" s="262"/>
      <c r="H10" s="262"/>
      <c r="I10" s="262"/>
    </row>
    <row r="11" spans="1:12" ht="15">
      <c r="A11" s="93" t="e">
        <f>COUNTIF(#REF!,$F11)+COUNTIF(#REF!,$F11)+COUNTIF(#REF!,$F11)+COUNTIF(#REF!,$F11)+COUNTIF(#REF!,$F11)+COUNTIF('2.8.Felúj.'!$B$1:$B$938,$F11)+COUNTIF('2.5.Céltart'!$B$3:$B$985,$F11)</f>
        <v>#REF!</v>
      </c>
      <c r="B11" s="196">
        <v>9</v>
      </c>
      <c r="F11" s="101"/>
      <c r="G11" s="200"/>
      <c r="H11" s="200"/>
      <c r="I11" s="90"/>
      <c r="L11" s="90"/>
    </row>
    <row r="12" spans="1:8" ht="12.75">
      <c r="A12" s="93" t="e">
        <f>COUNTIF(#REF!,$F12)+COUNTIF(#REF!,$F12)+COUNTIF(#REF!,$F12)+COUNTIF(#REF!,$F12)+COUNTIF(#REF!,$F12)+COUNTIF('2.8.Felúj.'!$B$1:$B$938,$F12)+COUNTIF('2.5.Céltart'!$B$3:$B$985,$F12)</f>
        <v>#REF!</v>
      </c>
      <c r="B12" s="196">
        <v>10</v>
      </c>
      <c r="F12" s="255"/>
      <c r="G12" s="216"/>
      <c r="H12" s="216"/>
    </row>
    <row r="13" spans="1:9" s="256" customFormat="1" ht="13.5" thickBot="1">
      <c r="A13" s="256" t="e">
        <f>COUNTIF(#REF!,$F13)+COUNTIF(#REF!,$F13)+COUNTIF(#REF!,$F13)+COUNTIF(#REF!,$F13)+COUNTIF(#REF!,$F13)+COUNTIF('2.8.Felúj.'!$B$1:$B$938,$F13)+COUNTIF('2.5.Céltart'!$B$3:$B$985,$F13)</f>
        <v>#REF!</v>
      </c>
      <c r="B13" s="257">
        <v>11</v>
      </c>
      <c r="C13" s="258"/>
      <c r="E13" s="260"/>
      <c r="F13" s="261"/>
      <c r="G13" s="263"/>
      <c r="H13" s="263"/>
      <c r="I13" s="262"/>
    </row>
    <row r="14" spans="1:8" ht="15">
      <c r="A14" s="93" t="e">
        <f>COUNTIF(#REF!,$F14)+COUNTIF(#REF!,$F14)+COUNTIF(#REF!,$F14)+COUNTIF(#REF!,$F14)+COUNTIF(#REF!,$F14)+COUNTIF('2.8.Felúj.'!$B$1:$B$938,$F14)+COUNTIF('2.5.Céltart'!$B$3:$B$985,$F14)</f>
        <v>#REF!</v>
      </c>
      <c r="B14" s="196">
        <v>12</v>
      </c>
      <c r="F14" s="101"/>
      <c r="G14" s="216"/>
      <c r="H14" s="216"/>
    </row>
    <row r="15" spans="1:8" ht="15">
      <c r="A15" s="93" t="e">
        <f>COUNTIF(#REF!,$F15)+COUNTIF(#REF!,$F15)+COUNTIF(#REF!,$F15)+COUNTIF(#REF!,$F15)+COUNTIF(#REF!,$F15)+COUNTIF('2.8.Felúj.'!$B$1:$B$938,$F15)+COUNTIF('2.5.Céltart'!$B$3:$B$985,$F15)</f>
        <v>#REF!</v>
      </c>
      <c r="B15" s="196">
        <v>13</v>
      </c>
      <c r="F15" s="101"/>
      <c r="G15" s="216"/>
      <c r="H15" s="216"/>
    </row>
    <row r="16" spans="1:9" s="256" customFormat="1" ht="13.5" thickBot="1">
      <c r="A16" s="256" t="e">
        <f>COUNTIF(#REF!,$F16)+COUNTIF(#REF!,$F16)+COUNTIF(#REF!,$F16)+COUNTIF(#REF!,$F16)+COUNTIF(#REF!,$F16)+COUNTIF('2.8.Felúj.'!$B$1:$B$938,$F16)+COUNTIF('2.5.Céltart'!$B$3:$B$985,$F16)</f>
        <v>#REF!</v>
      </c>
      <c r="B16" s="257">
        <v>14</v>
      </c>
      <c r="C16" s="258"/>
      <c r="E16" s="260"/>
      <c r="F16" s="261"/>
      <c r="G16" s="263"/>
      <c r="H16" s="263"/>
      <c r="I16" s="262"/>
    </row>
    <row r="17" spans="1:8" ht="12.75">
      <c r="A17" s="93" t="e">
        <f>COUNTIF(#REF!,$F17)+COUNTIF(#REF!,$F17)+COUNTIF(#REF!,$F17)+COUNTIF(#REF!,$F17)+COUNTIF(#REF!,$F17)+COUNTIF('2.8.Felúj.'!$B$1:$B$938,$F17)+COUNTIF('2.5.Céltart'!$B$3:$B$985,$F17)</f>
        <v>#REF!</v>
      </c>
      <c r="B17" s="196">
        <v>15</v>
      </c>
      <c r="F17" s="91"/>
      <c r="G17" s="216"/>
      <c r="H17" s="216"/>
    </row>
    <row r="18" spans="1:8" ht="12.75">
      <c r="A18" s="93" t="e">
        <f>COUNTIF(#REF!,$F18)+COUNTIF(#REF!,$F18)+COUNTIF(#REF!,$F18)+COUNTIF(#REF!,$F18)+COUNTIF(#REF!,$F18)+COUNTIF('2.8.Felúj.'!$B$1:$B$938,$F18)+COUNTIF('2.5.Céltart'!$B$3:$B$985,$F18)</f>
        <v>#REF!</v>
      </c>
      <c r="B18" s="196">
        <v>16</v>
      </c>
      <c r="F18" s="199"/>
      <c r="G18" s="216"/>
      <c r="H18" s="216"/>
    </row>
    <row r="19" spans="1:9" s="256" customFormat="1" ht="13.5" thickBot="1">
      <c r="A19" s="256" t="e">
        <f>COUNTIF(#REF!,$F19)+COUNTIF(#REF!,$F19)+COUNTIF(#REF!,$F19)+COUNTIF(#REF!,$F19)+COUNTIF(#REF!,$F19)+COUNTIF('2.8.Felúj.'!$B$1:$B$938,$F19)+COUNTIF('2.5.Céltart'!$B$3:$B$985,$F19)</f>
        <v>#REF!</v>
      </c>
      <c r="B19" s="257">
        <v>17</v>
      </c>
      <c r="C19" s="258"/>
      <c r="E19" s="260"/>
      <c r="F19" s="261"/>
      <c r="G19" s="263"/>
      <c r="H19" s="263"/>
      <c r="I19" s="262"/>
    </row>
    <row r="20" spans="1:8" ht="12.75">
      <c r="A20" s="93" t="e">
        <f>COUNTIF(#REF!,$F20)+COUNTIF(#REF!,$F20)+COUNTIF(#REF!,$F20)+COUNTIF(#REF!,$F20)+COUNTIF(#REF!,$F20)+COUNTIF('2.8.Felúj.'!$B$1:$B$938,$F20)+COUNTIF('2.5.Céltart'!$B$3:$B$985,$F20)</f>
        <v>#REF!</v>
      </c>
      <c r="B20" s="196">
        <v>18</v>
      </c>
      <c r="F20" s="203"/>
      <c r="G20" s="216"/>
      <c r="H20" s="216"/>
    </row>
    <row r="21" spans="1:8" ht="15">
      <c r="A21" s="93" t="e">
        <f>COUNTIF(#REF!,$F21)+COUNTIF(#REF!,$F21)+COUNTIF(#REF!,$F21)+COUNTIF(#REF!,$F21)+COUNTIF(#REF!,$F21)+COUNTIF('2.8.Felúj.'!$B$1:$B$938,$F21)+COUNTIF('2.5.Céltart'!$B$3:$B$985,$F21)</f>
        <v>#REF!</v>
      </c>
      <c r="B21" s="196">
        <v>19</v>
      </c>
      <c r="F21" s="244"/>
      <c r="G21" s="216"/>
      <c r="H21" s="216"/>
    </row>
    <row r="22" spans="1:8" ht="15">
      <c r="A22" s="93" t="e">
        <f>COUNTIF(#REF!,$F22)+COUNTIF(#REF!,$F22)+COUNTIF(#REF!,$F22)+COUNTIF(#REF!,$F22)+COUNTIF(#REF!,$F22)+COUNTIF('2.8.Felúj.'!$B$1:$B$938,$F22)+COUNTIF('2.5.Céltart'!$B$3:$B$985,$F22)</f>
        <v>#REF!</v>
      </c>
      <c r="B22" s="196">
        <v>20</v>
      </c>
      <c r="F22" s="177"/>
      <c r="G22" s="216"/>
      <c r="H22" s="216"/>
    </row>
    <row r="23" spans="1:8" ht="12.75">
      <c r="A23" s="93" t="e">
        <f>COUNTIF(#REF!,$F23)+COUNTIF(#REF!,$F23)+COUNTIF(#REF!,$F23)+COUNTIF(#REF!,$F23)+COUNTIF(#REF!,$F23)+COUNTIF('2.8.Felúj.'!$B$1:$B$938,$F23)+COUNTIF('2.5.Céltart'!$B$3:$B$985,$F23)</f>
        <v>#REF!</v>
      </c>
      <c r="B23" s="196">
        <v>21</v>
      </c>
      <c r="F23" s="198"/>
      <c r="G23" s="216"/>
      <c r="H23" s="216"/>
    </row>
    <row r="24" spans="1:8" ht="12.75">
      <c r="A24" s="93" t="e">
        <f>COUNTIF(#REF!,$F24)+COUNTIF(#REF!,$F24)+COUNTIF(#REF!,$F24)+COUNTIF(#REF!,$F24)+COUNTIF(#REF!,$F24)+COUNTIF('2.8.Felúj.'!$B$1:$B$938,$F24)+COUNTIF('2.5.Céltart'!$B$3:$B$985,$F24)</f>
        <v>#REF!</v>
      </c>
      <c r="B24" s="196">
        <v>22</v>
      </c>
      <c r="F24" s="199"/>
      <c r="G24" s="216"/>
      <c r="H24" s="216"/>
    </row>
    <row r="25" spans="1:8" ht="12.75">
      <c r="A25" s="93" t="e">
        <f>COUNTIF(#REF!,$F25)+COUNTIF(#REF!,$F25)+COUNTIF(#REF!,$F25)+COUNTIF(#REF!,$F25)+COUNTIF(#REF!,$F25)+COUNTIF('2.8.Felúj.'!$B$1:$B$938,$F25)+COUNTIF('2.5.Céltart'!$B$3:$B$985,$F25)</f>
        <v>#REF!</v>
      </c>
      <c r="B25" s="196">
        <v>23</v>
      </c>
      <c r="F25" s="199"/>
      <c r="G25" s="216"/>
      <c r="H25" s="216"/>
    </row>
    <row r="26" spans="1:8" ht="12.75">
      <c r="A26" s="93" t="e">
        <f>COUNTIF(#REF!,$F26)+COUNTIF(#REF!,$F26)+COUNTIF(#REF!,$F26)+COUNTIF(#REF!,$F26)+COUNTIF(#REF!,$F26)+COUNTIF('2.8.Felúj.'!$B$1:$B$938,$F26)+COUNTIF('2.5.Céltart'!$B$3:$B$985,$F26)</f>
        <v>#REF!</v>
      </c>
      <c r="B26" s="196">
        <v>24</v>
      </c>
      <c r="F26" s="199"/>
      <c r="G26" s="216"/>
      <c r="H26" s="216"/>
    </row>
    <row r="27" spans="1:8" ht="12.75">
      <c r="A27" s="93" t="e">
        <f>COUNTIF(#REF!,$F27)+COUNTIF(#REF!,$F27)+COUNTIF(#REF!,$F27)+COUNTIF(#REF!,$F27)+COUNTIF(#REF!,$F27)+COUNTIF('2.8.Felúj.'!$B$1:$B$938,$F27)+COUNTIF('2.5.Céltart'!$B$3:$B$985,$F27)</f>
        <v>#REF!</v>
      </c>
      <c r="B27" s="196">
        <v>25</v>
      </c>
      <c r="F27" s="199"/>
      <c r="G27" s="216"/>
      <c r="H27" s="216"/>
    </row>
    <row r="28" spans="1:8" ht="12.75">
      <c r="A28" s="93" t="e">
        <f>COUNTIF(#REF!,$F28)+COUNTIF(#REF!,$F28)+COUNTIF(#REF!,$F28)+COUNTIF(#REF!,$F28)+COUNTIF(#REF!,$F28)+COUNTIF('2.8.Felúj.'!$B$1:$B$938,$F28)+COUNTIF('2.5.Céltart'!$B$3:$B$985,$F28)</f>
        <v>#REF!</v>
      </c>
      <c r="B28" s="196">
        <v>26</v>
      </c>
      <c r="F28" s="198"/>
      <c r="G28" s="216"/>
      <c r="H28" s="216"/>
    </row>
    <row r="29" spans="1:8" ht="13.5">
      <c r="A29" s="93" t="e">
        <f>COUNTIF(#REF!,$F29)+COUNTIF(#REF!,$F29)+COUNTIF(#REF!,$F29)+COUNTIF(#REF!,$F29)+COUNTIF(#REF!,$F29)+COUNTIF('2.8.Felúj.'!$B$1:$B$938,$F29)+COUNTIF('2.5.Céltart'!$B$3:$B$985,$F29)</f>
        <v>#REF!</v>
      </c>
      <c r="B29" s="196">
        <v>27</v>
      </c>
      <c r="F29" s="250"/>
      <c r="G29" s="216"/>
      <c r="H29" s="216"/>
    </row>
    <row r="30" spans="1:8" ht="15">
      <c r="A30" s="93" t="e">
        <f>COUNTIF(#REF!,$F30)+COUNTIF(#REF!,$F30)+COUNTIF(#REF!,$F30)+COUNTIF(#REF!,$F30)+COUNTIF(#REF!,$F30)+COUNTIF('2.8.Felúj.'!$B$1:$B$938,$F30)+COUNTIF('2.5.Céltart'!$B$3:$B$985,$F30)</f>
        <v>#REF!</v>
      </c>
      <c r="B30" s="196">
        <v>28</v>
      </c>
      <c r="F30" s="244"/>
      <c r="G30" s="216"/>
      <c r="H30" s="216"/>
    </row>
    <row r="31" spans="1:8" ht="12.75">
      <c r="A31" s="93" t="e">
        <f>COUNTIF(#REF!,$F31)+COUNTIF(#REF!,$F31)+COUNTIF(#REF!,$F31)+COUNTIF(#REF!,$F31)+COUNTIF(#REF!,$F31)+COUNTIF('2.8.Felúj.'!$B$1:$B$938,$F31)+COUNTIF('2.5.Céltart'!$B$3:$B$985,$F31)</f>
        <v>#REF!</v>
      </c>
      <c r="B31" s="196">
        <v>29</v>
      </c>
      <c r="F31" s="199"/>
      <c r="G31" s="216"/>
      <c r="H31" s="216"/>
    </row>
    <row r="32" spans="1:8" ht="12.75">
      <c r="A32" s="93" t="e">
        <f>COUNTIF(#REF!,$F32)+COUNTIF(#REF!,$F32)+COUNTIF(#REF!,$F32)+COUNTIF(#REF!,$F32)+COUNTIF(#REF!,$F32)+COUNTIF('2.8.Felúj.'!$B$1:$B$938,$F32)+COUNTIF('2.5.Céltart'!$B$3:$B$985,$F32)</f>
        <v>#REF!</v>
      </c>
      <c r="B32" s="196">
        <v>30</v>
      </c>
      <c r="F32" s="203"/>
      <c r="G32" s="216"/>
      <c r="H32" s="216"/>
    </row>
    <row r="33" spans="1:8" ht="15">
      <c r="A33" s="93" t="e">
        <f>COUNTIF(#REF!,$F33)+COUNTIF(#REF!,$F33)+COUNTIF(#REF!,$F33)+COUNTIF(#REF!,$F33)+COUNTIF(#REF!,$F33)+COUNTIF('2.8.Felúj.'!$B$1:$B$938,$F33)+COUNTIF('2.5.Céltart'!$B$3:$B$985,$F33)</f>
        <v>#REF!</v>
      </c>
      <c r="B33" s="196">
        <v>31</v>
      </c>
      <c r="F33" s="244"/>
      <c r="G33" s="216"/>
      <c r="H33" s="216"/>
    </row>
    <row r="34" spans="1:8" ht="12.75">
      <c r="A34" s="93" t="e">
        <f>COUNTIF(#REF!,$F34)+COUNTIF(#REF!,$F34)+COUNTIF(#REF!,$F34)+COUNTIF(#REF!,$F34)+COUNTIF(#REF!,$F34)+COUNTIF('2.8.Felúj.'!$B$1:$B$938,$F34)+COUNTIF('2.5.Céltart'!$B$3:$B$985,$F34)</f>
        <v>#REF!</v>
      </c>
      <c r="B34" s="196">
        <v>32</v>
      </c>
      <c r="F34" s="199"/>
      <c r="G34" s="216"/>
      <c r="H34" s="216"/>
    </row>
    <row r="35" spans="1:8" ht="12.75">
      <c r="A35" s="93" t="e">
        <f>COUNTIF(#REF!,$F35)+COUNTIF(#REF!,$F35)+COUNTIF(#REF!,$F35)+COUNTIF(#REF!,$F35)+COUNTIF(#REF!,$F35)+COUNTIF('2.8.Felúj.'!$B$1:$B$938,$F35)+COUNTIF('2.5.Céltart'!$B$3:$B$985,$F35)</f>
        <v>#REF!</v>
      </c>
      <c r="B35" s="196">
        <v>33</v>
      </c>
      <c r="F35" s="80"/>
      <c r="G35" s="216"/>
      <c r="H35" s="216"/>
    </row>
    <row r="36" spans="1:8" ht="15">
      <c r="A36" s="93" t="e">
        <f>COUNTIF(#REF!,$F36)+COUNTIF(#REF!,$F36)+COUNTIF(#REF!,$F36)+COUNTIF(#REF!,$F36)+COUNTIF(#REF!,$F36)+COUNTIF('2.8.Felúj.'!$B$1:$B$938,$F36)+COUNTIF('2.5.Céltart'!$B$3:$B$985,$F36)</f>
        <v>#REF!</v>
      </c>
      <c r="B36" s="196">
        <v>34</v>
      </c>
      <c r="F36" s="177"/>
      <c r="G36" s="216"/>
      <c r="H36" s="216"/>
    </row>
    <row r="37" spans="1:8" ht="15">
      <c r="A37" s="93" t="e">
        <f>COUNTIF(#REF!,$F37)+COUNTIF(#REF!,$F37)+COUNTIF(#REF!,$F37)+COUNTIF(#REF!,$F37)+COUNTIF(#REF!,$F37)+COUNTIF('2.8.Felúj.'!$B$1:$B$938,$F37)+COUNTIF('2.5.Céltart'!$B$3:$B$985,$F37)</f>
        <v>#REF!</v>
      </c>
      <c r="B37" s="196">
        <v>35</v>
      </c>
      <c r="F37" s="244"/>
      <c r="G37" s="216"/>
      <c r="H37" s="216"/>
    </row>
    <row r="38" spans="1:8" ht="15">
      <c r="A38" s="93" t="e">
        <f>COUNTIF(#REF!,$F38)+COUNTIF(#REF!,$F38)+COUNTIF(#REF!,$F38)+COUNTIF(#REF!,$F38)+COUNTIF(#REF!,$F38)+COUNTIF('2.8.Felúj.'!$B$1:$B$938,$F38)+COUNTIF('2.5.Céltart'!$B$3:$B$985,$F38)</f>
        <v>#REF!</v>
      </c>
      <c r="B38" s="196">
        <v>36</v>
      </c>
      <c r="F38" s="177"/>
      <c r="G38" s="216"/>
      <c r="H38" s="216"/>
    </row>
    <row r="39" spans="1:8" ht="15">
      <c r="A39" s="93" t="e">
        <f>COUNTIF(#REF!,$F39)+COUNTIF(#REF!,$F39)+COUNTIF(#REF!,$F39)+COUNTIF(#REF!,$F39)+COUNTIF(#REF!,$F39)+COUNTIF('2.8.Felúj.'!$B$1:$B$938,$F39)+COUNTIF('2.5.Céltart'!$B$3:$B$985,$F39)</f>
        <v>#REF!</v>
      </c>
      <c r="B39" s="196">
        <v>37</v>
      </c>
      <c r="F39" s="177"/>
      <c r="G39" s="216"/>
      <c r="H39" s="216"/>
    </row>
    <row r="40" spans="1:8" ht="12.75">
      <c r="A40" s="93" t="e">
        <f>COUNTIF(#REF!,$F40)+COUNTIF(#REF!,$F40)+COUNTIF(#REF!,$F40)+COUNTIF(#REF!,$F40)+COUNTIF(#REF!,$F40)+COUNTIF('2.8.Felúj.'!$B$1:$B$938,$F40)+COUNTIF('2.5.Céltart'!$B$3:$B$985,$F40)</f>
        <v>#REF!</v>
      </c>
      <c r="B40" s="196">
        <v>38</v>
      </c>
      <c r="F40" s="80"/>
      <c r="G40" s="216"/>
      <c r="H40" s="216"/>
    </row>
    <row r="41" spans="1:8" ht="12.75">
      <c r="A41" s="93" t="e">
        <f>COUNTIF(#REF!,$F41)+COUNTIF(#REF!,$F41)+COUNTIF(#REF!,$F41)+COUNTIF(#REF!,$F41)+COUNTIF(#REF!,$F41)+COUNTIF('2.8.Felúj.'!$B$1:$B$938,$F41)+COUNTIF('2.5.Céltart'!$B$3:$B$985,$F41)</f>
        <v>#REF!</v>
      </c>
      <c r="B41" s="196">
        <v>39</v>
      </c>
      <c r="F41" s="80"/>
      <c r="G41" s="216"/>
      <c r="H41" s="216"/>
    </row>
    <row r="42" spans="1:8" ht="12.75">
      <c r="A42" s="93" t="e">
        <f>COUNTIF(#REF!,$F42)+COUNTIF(#REF!,$F42)+COUNTIF(#REF!,$F42)+COUNTIF(#REF!,$F42)+COUNTIF(#REF!,$F42)+COUNTIF('2.8.Felúj.'!$B$1:$B$938,$F42)+COUNTIF('2.5.Céltart'!$B$3:$B$985,$F42)</f>
        <v>#REF!</v>
      </c>
      <c r="B42" s="196">
        <v>40</v>
      </c>
      <c r="F42" s="203"/>
      <c r="G42" s="216"/>
      <c r="H42" s="216"/>
    </row>
    <row r="43" spans="1:8" ht="12.75">
      <c r="A43" s="93" t="e">
        <f>COUNTIF(#REF!,$F43)+COUNTIF(#REF!,$F43)+COUNTIF(#REF!,$F43)+COUNTIF(#REF!,$F43)+COUNTIF(#REF!,$F43)+COUNTIF('2.8.Felúj.'!$B$1:$B$938,$F43)+COUNTIF('2.5.Céltart'!$B$3:$B$985,$F43)</f>
        <v>#REF!</v>
      </c>
      <c r="B43" s="196">
        <v>41</v>
      </c>
      <c r="F43" s="203"/>
      <c r="G43" s="216"/>
      <c r="H43" s="216"/>
    </row>
    <row r="44" spans="1:8" ht="12.75">
      <c r="A44" s="93" t="e">
        <f>COUNTIF(#REF!,$F44)+COUNTIF(#REF!,$F44)+COUNTIF(#REF!,$F44)+COUNTIF(#REF!,$F44)+COUNTIF(#REF!,$F44)+COUNTIF('2.8.Felúj.'!$B$1:$B$938,$F44)+COUNTIF('2.5.Céltart'!$B$3:$B$985,$F44)</f>
        <v>#REF!</v>
      </c>
      <c r="B44" s="196">
        <v>42</v>
      </c>
      <c r="F44" s="203"/>
      <c r="G44" s="216"/>
      <c r="H44" s="216"/>
    </row>
    <row r="45" spans="1:8" ht="12.75">
      <c r="A45" s="93" t="e">
        <f>COUNTIF(#REF!,$F45)+COUNTIF(#REF!,$F45)+COUNTIF(#REF!,$F45)+COUNTIF(#REF!,$F45)+COUNTIF(#REF!,$F45)+COUNTIF('2.8.Felúj.'!$B$1:$B$938,$F45)+COUNTIF('2.5.Céltart'!$B$3:$B$985,$F45)</f>
        <v>#REF!</v>
      </c>
      <c r="B45" s="196">
        <v>43</v>
      </c>
      <c r="D45" s="209"/>
      <c r="F45" s="80"/>
      <c r="G45" s="216"/>
      <c r="H45" s="216"/>
    </row>
    <row r="46" spans="1:8" ht="12.75">
      <c r="A46" s="93" t="e">
        <f>COUNTIF(#REF!,$F46)+COUNTIF(#REF!,$F46)+COUNTIF(#REF!,$F46)+COUNTIF(#REF!,$F46)+COUNTIF(#REF!,$F46)+COUNTIF('2.8.Felúj.'!$B$1:$B$938,$F46)+COUNTIF('2.5.Céltart'!$B$3:$B$985,$F46)</f>
        <v>#REF!</v>
      </c>
      <c r="B46" s="196">
        <v>44</v>
      </c>
      <c r="D46" s="209"/>
      <c r="F46" s="80"/>
      <c r="G46" s="216"/>
      <c r="H46" s="216"/>
    </row>
    <row r="47" spans="1:8" ht="13.5">
      <c r="A47" s="93" t="e">
        <f>COUNTIF(#REF!,$F47)+COUNTIF(#REF!,$F47)+COUNTIF(#REF!,$F47)+COUNTIF(#REF!,$F47)+COUNTIF(#REF!,$F47)+COUNTIF('2.8.Felúj.'!$B$1:$B$938,$F47)+COUNTIF('2.5.Céltart'!$B$3:$B$985,$F47)</f>
        <v>#REF!</v>
      </c>
      <c r="B47" s="196">
        <v>45</v>
      </c>
      <c r="D47" s="209"/>
      <c r="F47" s="251"/>
      <c r="G47" s="216"/>
      <c r="H47" s="216"/>
    </row>
    <row r="48" spans="1:8" ht="12.75">
      <c r="A48" s="93" t="e">
        <f>COUNTIF(#REF!,$F48)+COUNTIF(#REF!,$F48)+COUNTIF(#REF!,$F48)+COUNTIF(#REF!,$F48)+COUNTIF(#REF!,$F48)+COUNTIF('2.8.Felúj.'!$B$1:$B$938,$F48)+COUNTIF('2.5.Céltart'!$B$3:$B$985,$F48)</f>
        <v>#REF!</v>
      </c>
      <c r="B48" s="196">
        <v>46</v>
      </c>
      <c r="D48" s="209"/>
      <c r="F48" s="80"/>
      <c r="G48" s="216"/>
      <c r="H48" s="216"/>
    </row>
    <row r="49" spans="1:8" ht="12.75">
      <c r="A49" s="93" t="e">
        <f>COUNTIF(#REF!,$F49)+COUNTIF(#REF!,$F49)+COUNTIF(#REF!,$F49)+COUNTIF(#REF!,$F49)+COUNTIF(#REF!,$F49)+COUNTIF('2.8.Felúj.'!$B$1:$B$938,$F49)+COUNTIF('2.5.Céltart'!$B$3:$B$985,$F49)</f>
        <v>#REF!</v>
      </c>
      <c r="B49" s="196">
        <v>47</v>
      </c>
      <c r="D49" s="209"/>
      <c r="F49" s="235"/>
      <c r="G49" s="216"/>
      <c r="H49" s="216"/>
    </row>
    <row r="50" spans="1:8" ht="12.75">
      <c r="A50" s="93" t="e">
        <f>COUNTIF(#REF!,$F50)+COUNTIF(#REF!,$F50)+COUNTIF(#REF!,$F50)+COUNTIF(#REF!,$F50)+COUNTIF(#REF!,$F50)+COUNTIF('2.8.Felúj.'!$B$1:$B$938,$F50)+COUNTIF('2.5.Céltart'!$B$3:$B$985,$F50)</f>
        <v>#REF!</v>
      </c>
      <c r="B50" s="196">
        <v>48</v>
      </c>
      <c r="D50" s="209"/>
      <c r="F50" s="80"/>
      <c r="G50" s="216"/>
      <c r="H50" s="216"/>
    </row>
    <row r="51" spans="1:8" ht="15">
      <c r="A51" s="93" t="e">
        <f>COUNTIF(#REF!,$F51)+COUNTIF(#REF!,$F51)+COUNTIF(#REF!,$F51)+COUNTIF(#REF!,$F51)+COUNTIF(#REF!,$F51)+COUNTIF('2.8.Felúj.'!$B$1:$B$938,$F51)+COUNTIF('2.5.Céltart'!$B$3:$B$985,$F51)</f>
        <v>#REF!</v>
      </c>
      <c r="B51" s="196">
        <v>49</v>
      </c>
      <c r="D51" s="209"/>
      <c r="F51" s="244"/>
      <c r="G51" s="216"/>
      <c r="H51" s="216"/>
    </row>
    <row r="52" spans="1:8" ht="15">
      <c r="A52" s="93" t="e">
        <f>COUNTIF(#REF!,$F52)+COUNTIF(#REF!,$F52)+COUNTIF(#REF!,$F52)+COUNTIF(#REF!,$F52)+COUNTIF(#REF!,$F52)+COUNTIF('2.8.Felúj.'!$B$1:$B$938,$F52)+COUNTIF('2.5.Céltart'!$B$3:$B$985,$F52)</f>
        <v>#REF!</v>
      </c>
      <c r="B52" s="196">
        <v>50</v>
      </c>
      <c r="D52" s="209"/>
      <c r="F52" s="244"/>
      <c r="G52" s="216"/>
      <c r="H52" s="216"/>
    </row>
    <row r="53" spans="1:8" ht="15">
      <c r="A53" s="93" t="e">
        <f>COUNTIF(#REF!,$F53)+COUNTIF(#REF!,$F53)+COUNTIF(#REF!,$F53)+COUNTIF(#REF!,$F53)+COUNTIF(#REF!,$F53)+COUNTIF('2.8.Felúj.'!$B$1:$B$938,$F53)+COUNTIF('2.5.Céltart'!$B$3:$B$985,$F53)</f>
        <v>#REF!</v>
      </c>
      <c r="B53" s="196">
        <v>51</v>
      </c>
      <c r="D53" s="209"/>
      <c r="F53" s="244"/>
      <c r="G53" s="216"/>
      <c r="H53" s="216"/>
    </row>
    <row r="54" spans="1:8" ht="15">
      <c r="A54" s="93" t="e">
        <f>COUNTIF(#REF!,$F54)+COUNTIF(#REF!,$F54)+COUNTIF(#REF!,$F54)+COUNTIF(#REF!,$F54)+COUNTIF(#REF!,$F54)+COUNTIF('2.8.Felúj.'!$B$1:$B$938,$F54)+COUNTIF('2.5.Céltart'!$B$3:$B$985,$F54)</f>
        <v>#REF!</v>
      </c>
      <c r="B54" s="196">
        <v>52</v>
      </c>
      <c r="D54" s="209"/>
      <c r="F54" s="252"/>
      <c r="G54" s="216"/>
      <c r="H54" s="216"/>
    </row>
    <row r="55" spans="1:8" ht="15">
      <c r="A55" s="93" t="e">
        <f>COUNTIF(#REF!,$F55)+COUNTIF(#REF!,$F55)+COUNTIF(#REF!,$F55)+COUNTIF(#REF!,$F55)+COUNTIF(#REF!,$F55)+COUNTIF('2.8.Felúj.'!$B$1:$B$938,$F55)+COUNTIF('2.5.Céltart'!$B$3:$B$985,$F55)</f>
        <v>#REF!</v>
      </c>
      <c r="B55" s="196">
        <v>53</v>
      </c>
      <c r="D55" s="209"/>
      <c r="F55" s="252"/>
      <c r="G55" s="216"/>
      <c r="H55" s="216"/>
    </row>
    <row r="56" spans="1:8" ht="15">
      <c r="A56" s="93" t="e">
        <f>COUNTIF(#REF!,$F56)+COUNTIF(#REF!,$F56)+COUNTIF(#REF!,$F56)+COUNTIF(#REF!,$F56)+COUNTIF(#REF!,$F56)+COUNTIF('2.8.Felúj.'!$B$1:$B$938,$F56)+COUNTIF('2.5.Céltart'!$B$3:$B$985,$F56)</f>
        <v>#REF!</v>
      </c>
      <c r="B56" s="196">
        <v>54</v>
      </c>
      <c r="D56" s="209"/>
      <c r="F56" s="244"/>
      <c r="G56" s="216"/>
      <c r="H56" s="216"/>
    </row>
    <row r="57" spans="1:8" ht="15">
      <c r="A57" s="93" t="e">
        <f>COUNTIF(#REF!,$F57)+COUNTIF(#REF!,$F57)+COUNTIF(#REF!,$F57)+COUNTIF(#REF!,$F57)+COUNTIF(#REF!,$F57)+COUNTIF('2.8.Felúj.'!$B$1:$B$938,$F57)+COUNTIF('2.5.Céltart'!$B$3:$B$985,$F57)</f>
        <v>#REF!</v>
      </c>
      <c r="B57" s="196">
        <v>55</v>
      </c>
      <c r="D57" s="209"/>
      <c r="F57" s="244"/>
      <c r="G57" s="216"/>
      <c r="H57" s="216"/>
    </row>
    <row r="58" spans="1:8" ht="15">
      <c r="A58" s="93" t="e">
        <f>COUNTIF(#REF!,$F58)+COUNTIF(#REF!,$F58)+COUNTIF(#REF!,$F58)+COUNTIF(#REF!,$F58)+COUNTIF(#REF!,$F58)+COUNTIF('2.8.Felúj.'!$B$1:$B$938,$F58)+COUNTIF('2.5.Céltart'!$B$3:$B$985,$F58)</f>
        <v>#REF!</v>
      </c>
      <c r="B58" s="196">
        <v>56</v>
      </c>
      <c r="D58" s="209"/>
      <c r="F58" s="246"/>
      <c r="G58" s="216"/>
      <c r="H58" s="216"/>
    </row>
    <row r="59" spans="1:8" ht="15">
      <c r="A59" s="93" t="e">
        <f>COUNTIF(#REF!,$F59)+COUNTIF(#REF!,$F59)+COUNTIF(#REF!,$F59)+COUNTIF(#REF!,$F59)+COUNTIF(#REF!,$F59)+COUNTIF('2.8.Felúj.'!$B$1:$B$938,$F59)+COUNTIF('2.5.Céltart'!$B$3:$B$985,$F59)</f>
        <v>#REF!</v>
      </c>
      <c r="B59" s="196">
        <v>57</v>
      </c>
      <c r="D59" s="209"/>
      <c r="F59" s="244"/>
      <c r="G59" s="216"/>
      <c r="H59" s="216"/>
    </row>
    <row r="60" spans="1:8" ht="15">
      <c r="A60" s="93" t="e">
        <f>COUNTIF(#REF!,$F60)+COUNTIF(#REF!,$F60)+COUNTIF(#REF!,$F60)+COUNTIF(#REF!,$F60)+COUNTIF(#REF!,$F60)+COUNTIF('2.8.Felúj.'!$B$1:$B$938,$F60)+COUNTIF('2.5.Céltart'!$B$3:$B$985,$F60)</f>
        <v>#REF!</v>
      </c>
      <c r="B60" s="196">
        <v>58</v>
      </c>
      <c r="D60" s="209"/>
      <c r="F60" s="244"/>
      <c r="G60" s="216"/>
      <c r="H60" s="216"/>
    </row>
    <row r="61" spans="1:8" ht="12.75">
      <c r="A61" s="93" t="e">
        <f>COUNTIF(#REF!,$F61)+COUNTIF(#REF!,$F61)+COUNTIF(#REF!,$F61)+COUNTIF(#REF!,$F61)+COUNTIF(#REF!,$F61)+COUNTIF('2.8.Felúj.'!$B$1:$B$938,$F61)+COUNTIF('2.5.Céltart'!$B$3:$B$985,$F61)</f>
        <v>#REF!</v>
      </c>
      <c r="B61" s="196">
        <v>59</v>
      </c>
      <c r="D61" s="209"/>
      <c r="F61" s="235"/>
      <c r="G61" s="216"/>
      <c r="H61" s="216"/>
    </row>
    <row r="62" spans="1:8" ht="15">
      <c r="A62" s="93" t="e">
        <f>COUNTIF(#REF!,$F62)+COUNTIF(#REF!,$F62)+COUNTIF(#REF!,$F62)+COUNTIF(#REF!,$F62)+COUNTIF(#REF!,$F62)+COUNTIF('2.8.Felúj.'!$B$1:$B$938,$F62)+COUNTIF('2.5.Céltart'!$B$3:$B$985,$F62)</f>
        <v>#REF!</v>
      </c>
      <c r="B62" s="196">
        <v>60</v>
      </c>
      <c r="D62" s="209"/>
      <c r="F62" s="244"/>
      <c r="G62" s="216"/>
      <c r="H62" s="216"/>
    </row>
    <row r="63" spans="1:8" ht="15">
      <c r="A63" s="93" t="e">
        <f>COUNTIF(#REF!,$F63)+COUNTIF(#REF!,$F63)+COUNTIF(#REF!,$F63)+COUNTIF(#REF!,$F63)+COUNTIF(#REF!,$F63)+COUNTIF('2.8.Felúj.'!$B$1:$B$938,$F63)+COUNTIF('2.5.Céltart'!$B$3:$B$985,$F63)</f>
        <v>#REF!</v>
      </c>
      <c r="B63" s="196">
        <v>61</v>
      </c>
      <c r="D63" s="209"/>
      <c r="F63" s="244"/>
      <c r="G63" s="216"/>
      <c r="H63" s="216"/>
    </row>
    <row r="64" spans="1:8" ht="15">
      <c r="A64" s="93" t="e">
        <f>COUNTIF(#REF!,$F64)+COUNTIF(#REF!,$F64)+COUNTIF(#REF!,$F64)+COUNTIF(#REF!,$F64)+COUNTIF(#REF!,$F64)+COUNTIF('2.8.Felúj.'!$B$1:$B$938,$F64)+COUNTIF('2.5.Céltart'!$B$3:$B$985,$F64)</f>
        <v>#REF!</v>
      </c>
      <c r="B64" s="196">
        <v>62</v>
      </c>
      <c r="D64" s="209"/>
      <c r="F64" s="244"/>
      <c r="G64" s="216"/>
      <c r="H64" s="216"/>
    </row>
    <row r="65" spans="1:8" ht="15">
      <c r="A65" s="93" t="e">
        <f>COUNTIF(#REF!,$F65)+COUNTIF(#REF!,$F65)+COUNTIF(#REF!,$F65)+COUNTIF(#REF!,$F65)+COUNTIF(#REF!,$F65)+COUNTIF('2.8.Felúj.'!$B$1:$B$938,$F65)+COUNTIF('2.5.Céltart'!$B$3:$B$985,$F65)</f>
        <v>#REF!</v>
      </c>
      <c r="B65" s="196">
        <v>63</v>
      </c>
      <c r="D65" s="209"/>
      <c r="F65" s="244"/>
      <c r="G65" s="216"/>
      <c r="H65" s="216"/>
    </row>
    <row r="66" spans="1:8" ht="15">
      <c r="A66" s="93" t="e">
        <f>COUNTIF(#REF!,$F66)+COUNTIF(#REF!,$F66)+COUNTIF(#REF!,$F66)+COUNTIF(#REF!,$F66)+COUNTIF(#REF!,$F66)+COUNTIF('2.8.Felúj.'!$B$1:$B$938,$F66)+COUNTIF('2.5.Céltart'!$B$3:$B$985,$F66)</f>
        <v>#REF!</v>
      </c>
      <c r="B66" s="196">
        <v>64</v>
      </c>
      <c r="E66" s="207"/>
      <c r="F66" s="80"/>
      <c r="G66" s="216"/>
      <c r="H66" s="216"/>
    </row>
    <row r="67" spans="1:8" ht="15">
      <c r="A67" s="93" t="e">
        <f>COUNTIF(#REF!,$F67)+COUNTIF(#REF!,$F67)+COUNTIF(#REF!,$F67)+COUNTIF(#REF!,$F67)+COUNTIF(#REF!,$F67)+COUNTIF('2.8.Felúj.'!$B$1:$B$938,$F67)+COUNTIF('2.5.Céltart'!$B$3:$B$985,$F67)</f>
        <v>#REF!</v>
      </c>
      <c r="B67" s="196">
        <v>65</v>
      </c>
      <c r="E67" s="207"/>
      <c r="F67" s="80"/>
      <c r="G67" s="216"/>
      <c r="H67" s="216"/>
    </row>
    <row r="68" spans="1:8" ht="12.75">
      <c r="A68" s="93" t="e">
        <f>COUNTIF(#REF!,$F68)+COUNTIF(#REF!,$F68)+COUNTIF(#REF!,$F68)+COUNTIF(#REF!,$F68)+COUNTIF(#REF!,$F68)+COUNTIF('2.8.Felúj.'!$B$1:$B$938,$F68)+COUNTIF('2.5.Céltart'!$B$3:$B$985,$F68)</f>
        <v>#REF!</v>
      </c>
      <c r="B68" s="196">
        <v>66</v>
      </c>
      <c r="F68" s="80"/>
      <c r="G68" s="216"/>
      <c r="H68" s="216"/>
    </row>
    <row r="69" spans="1:8" ht="12.75">
      <c r="A69" s="93" t="e">
        <f>COUNTIF(#REF!,$F69)+COUNTIF(#REF!,$F69)+COUNTIF(#REF!,$F69)+COUNTIF(#REF!,$F69)+COUNTIF(#REF!,$F69)+COUNTIF('2.8.Felúj.'!$B$1:$B$938,$F69)+COUNTIF('2.5.Céltart'!$B$3:$B$985,$F69)</f>
        <v>#REF!</v>
      </c>
      <c r="B69" s="196">
        <v>67</v>
      </c>
      <c r="F69" s="206"/>
      <c r="G69" s="216"/>
      <c r="H69" s="216"/>
    </row>
    <row r="70" spans="1:8" ht="12.75">
      <c r="A70" s="93" t="e">
        <f>COUNTIF(#REF!,$F70)+COUNTIF(#REF!,$F70)+COUNTIF(#REF!,$F70)+COUNTIF(#REF!,$F70)+COUNTIF(#REF!,$F70)+COUNTIF('2.8.Felúj.'!$B$1:$B$938,$F70)+COUNTIF('2.5.Céltart'!$B$3:$B$985,$F70)</f>
        <v>#REF!</v>
      </c>
      <c r="B70" s="196">
        <v>68</v>
      </c>
      <c r="F70" s="206"/>
      <c r="G70" s="216"/>
      <c r="H70" s="216"/>
    </row>
    <row r="71" spans="1:8" ht="12.75">
      <c r="A71" s="93" t="e">
        <f>COUNTIF(#REF!,$F71)+COUNTIF(#REF!,$F71)+COUNTIF(#REF!,$F71)+COUNTIF(#REF!,$F71)+COUNTIF(#REF!,$F71)+COUNTIF('2.8.Felúj.'!$B$1:$B$938,$F71)+COUNTIF('2.5.Céltart'!$B$3:$B$985,$F71)</f>
        <v>#REF!</v>
      </c>
      <c r="B71" s="196">
        <v>69</v>
      </c>
      <c r="F71" s="206"/>
      <c r="G71" s="216"/>
      <c r="H71" s="216"/>
    </row>
    <row r="72" spans="1:8" ht="12.75">
      <c r="A72" s="93" t="e">
        <f>COUNTIF(#REF!,$F72)+COUNTIF(#REF!,$F72)+COUNTIF(#REF!,$F72)+COUNTIF(#REF!,$F72)+COUNTIF(#REF!,$F72)+COUNTIF('2.8.Felúj.'!$B$1:$B$938,$F72)+COUNTIF('2.5.Céltart'!$B$3:$B$985,$F72)</f>
        <v>#REF!</v>
      </c>
      <c r="B72" s="196">
        <v>70</v>
      </c>
      <c r="F72" s="236"/>
      <c r="G72" s="216"/>
      <c r="H72" s="216"/>
    </row>
    <row r="73" spans="1:8" ht="15">
      <c r="A73" s="93" t="e">
        <f>COUNTIF(#REF!,$F73)+COUNTIF(#REF!,$F73)+COUNTIF(#REF!,$F73)+COUNTIF(#REF!,$F73)+COUNTIF(#REF!,$F73)+COUNTIF('2.8.Felúj.'!$B$1:$B$938,$F73)+COUNTIF('2.5.Céltart'!$B$3:$B$985,$F73)</f>
        <v>#REF!</v>
      </c>
      <c r="B73" s="196">
        <v>71</v>
      </c>
      <c r="E73" s="207"/>
      <c r="F73" s="80"/>
      <c r="G73" s="216"/>
      <c r="H73" s="216"/>
    </row>
    <row r="74" spans="1:8" ht="15">
      <c r="A74" s="93" t="e">
        <f>COUNTIF(#REF!,$F74)+COUNTIF(#REF!,$F74)+COUNTIF(#REF!,$F74)+COUNTIF(#REF!,$F74)+COUNTIF(#REF!,$F74)+COUNTIF('2.8.Felúj.'!$B$1:$B$938,$F74)+COUNTIF('2.5.Céltart'!$B$3:$B$985,$F74)</f>
        <v>#REF!</v>
      </c>
      <c r="B74" s="196">
        <v>72</v>
      </c>
      <c r="E74" s="207"/>
      <c r="F74" s="245"/>
      <c r="G74" s="216"/>
      <c r="H74" s="216"/>
    </row>
    <row r="75" spans="1:8" ht="15">
      <c r="A75" s="93" t="e">
        <f>COUNTIF(#REF!,$F75)+COUNTIF(#REF!,$F75)+COUNTIF(#REF!,$F75)+COUNTIF(#REF!,$F75)+COUNTIF(#REF!,$F75)+COUNTIF('2.8.Felúj.'!$B$1:$B$938,$F75)+COUNTIF('2.5.Céltart'!$B$3:$B$985,$F75)</f>
        <v>#REF!</v>
      </c>
      <c r="B75" s="196">
        <v>73</v>
      </c>
      <c r="E75" s="207"/>
      <c r="F75" s="108"/>
      <c r="G75" s="216"/>
      <c r="H75" s="216"/>
    </row>
    <row r="76" spans="1:8" ht="15">
      <c r="A76" s="93" t="e">
        <f>COUNTIF(#REF!,$F76)+COUNTIF(#REF!,$F76)+COUNTIF(#REF!,$F76)+COUNTIF(#REF!,$F76)+COUNTIF(#REF!,$F76)+COUNTIF('2.8.Felúj.'!$B$1:$B$938,$F76)+COUNTIF('2.5.Céltart'!$B$3:$B$985,$F76)</f>
        <v>#REF!</v>
      </c>
      <c r="B76" s="196">
        <v>74</v>
      </c>
      <c r="E76" s="207"/>
      <c r="F76" s="108"/>
      <c r="G76" s="216"/>
      <c r="H76" s="216"/>
    </row>
    <row r="77" spans="1:8" ht="15">
      <c r="A77" s="93" t="e">
        <f>COUNTIF(#REF!,$F77)+COUNTIF(#REF!,$F77)+COUNTIF(#REF!,$F77)+COUNTIF(#REF!,$F77)+COUNTIF(#REF!,$F77)+COUNTIF('2.8.Felúj.'!$B$1:$B$938,$F77)+COUNTIF('2.5.Céltart'!$B$3:$B$985,$F77)</f>
        <v>#REF!</v>
      </c>
      <c r="B77" s="196">
        <v>75</v>
      </c>
      <c r="E77" s="207"/>
      <c r="F77" s="108"/>
      <c r="G77" s="216"/>
      <c r="H77" s="216"/>
    </row>
    <row r="78" spans="1:8" ht="15">
      <c r="A78" s="93" t="e">
        <f>COUNTIF(#REF!,$F78)+COUNTIF(#REF!,$F78)+COUNTIF(#REF!,$F78)+COUNTIF(#REF!,$F78)+COUNTIF(#REF!,$F78)+COUNTIF('2.8.Felúj.'!$B$1:$B$938,$F78)+COUNTIF('2.5.Céltart'!$B$3:$B$985,$F78)</f>
        <v>#REF!</v>
      </c>
      <c r="B78" s="196">
        <v>76</v>
      </c>
      <c r="E78" s="207"/>
      <c r="F78" s="247"/>
      <c r="G78" s="216"/>
      <c r="H78" s="216"/>
    </row>
    <row r="79" spans="1:8" ht="15">
      <c r="A79" s="93" t="e">
        <f>COUNTIF(#REF!,$F79)+COUNTIF(#REF!,$F79)+COUNTIF(#REF!,$F79)+COUNTIF(#REF!,$F79)+COUNTIF(#REF!,$F79)+COUNTIF('2.8.Felúj.'!$B$1:$B$938,$F79)+COUNTIF('2.5.Céltart'!$B$3:$B$985,$F79)</f>
        <v>#REF!</v>
      </c>
      <c r="B79" s="196">
        <v>77</v>
      </c>
      <c r="E79" s="207"/>
      <c r="F79" s="80"/>
      <c r="G79" s="216"/>
      <c r="H79" s="216"/>
    </row>
    <row r="80" spans="1:8" ht="15">
      <c r="A80" s="93" t="e">
        <f>COUNTIF(#REF!,$F80)+COUNTIF(#REF!,$F80)+COUNTIF(#REF!,$F80)+COUNTIF(#REF!,$F80)+COUNTIF(#REF!,$F80)+COUNTIF('2.8.Felúj.'!$B$1:$B$938,$F80)+COUNTIF('2.5.Céltart'!$B$3:$B$985,$F80)</f>
        <v>#REF!</v>
      </c>
      <c r="B80" s="196">
        <v>78</v>
      </c>
      <c r="E80" s="207"/>
      <c r="F80" s="244"/>
      <c r="G80" s="216"/>
      <c r="H80" s="216"/>
    </row>
    <row r="81" spans="1:8" ht="15">
      <c r="A81" s="93" t="e">
        <f>COUNTIF(#REF!,$F81)+COUNTIF(#REF!,$F81)+COUNTIF(#REF!,$F81)+COUNTIF(#REF!,$F81)+COUNTIF(#REF!,$F81)+COUNTIF('2.8.Felúj.'!$B$1:$B$938,$F81)+COUNTIF('2.5.Céltart'!$B$3:$B$985,$F81)</f>
        <v>#REF!</v>
      </c>
      <c r="B81" s="196">
        <v>79</v>
      </c>
      <c r="E81" s="207"/>
      <c r="F81" s="246"/>
      <c r="G81" s="216"/>
      <c r="H81" s="216"/>
    </row>
    <row r="82" spans="1:8" ht="15">
      <c r="A82" s="93" t="e">
        <f>COUNTIF(#REF!,$F82)+COUNTIF(#REF!,$F82)+COUNTIF(#REF!,$F82)+COUNTIF(#REF!,$F82)+COUNTIF(#REF!,$F82)+COUNTIF('2.8.Felúj.'!$B$1:$B$938,$F82)+COUNTIF('2.5.Céltart'!$B$3:$B$985,$F82)</f>
        <v>#REF!</v>
      </c>
      <c r="B82" s="196">
        <v>80</v>
      </c>
      <c r="E82" s="207"/>
      <c r="F82" s="80"/>
      <c r="G82" s="216"/>
      <c r="H82" s="216"/>
    </row>
    <row r="83" spans="1:8" ht="15">
      <c r="A83" s="93" t="e">
        <f>COUNTIF(#REF!,$F83)+COUNTIF(#REF!,$F83)+COUNTIF(#REF!,$F83)+COUNTIF(#REF!,$F83)+COUNTIF(#REF!,$F83)+COUNTIF('2.8.Felúj.'!$B$1:$B$938,$F83)+COUNTIF('2.5.Céltart'!$B$3:$B$985,$F83)</f>
        <v>#REF!</v>
      </c>
      <c r="B83" s="196">
        <v>81</v>
      </c>
      <c r="E83" s="207"/>
      <c r="F83" s="244"/>
      <c r="G83" s="216"/>
      <c r="H83" s="216"/>
    </row>
    <row r="84" spans="1:8" ht="15">
      <c r="A84" s="93" t="e">
        <f>COUNTIF(#REF!,$F84)+COUNTIF(#REF!,$F84)+COUNTIF(#REF!,$F84)+COUNTIF(#REF!,$F84)+COUNTIF(#REF!,$F84)+COUNTIF('2.8.Felúj.'!$B$1:$B$938,$F84)+COUNTIF('2.5.Céltart'!$B$3:$B$985,$F84)</f>
        <v>#REF!</v>
      </c>
      <c r="B84" s="196">
        <v>82</v>
      </c>
      <c r="E84" s="207"/>
      <c r="F84" s="80"/>
      <c r="G84" s="216"/>
      <c r="H84" s="216"/>
    </row>
    <row r="85" spans="1:8" ht="15">
      <c r="A85" s="93" t="e">
        <f>COUNTIF(#REF!,$F85)+COUNTIF(#REF!,$F85)+COUNTIF(#REF!,$F85)+COUNTIF(#REF!,$F85)+COUNTIF(#REF!,$F85)+COUNTIF('2.8.Felúj.'!$B$1:$B$938,$F85)+COUNTIF('2.5.Céltart'!$B$3:$B$985,$F85)</f>
        <v>#REF!</v>
      </c>
      <c r="B85" s="196">
        <v>83</v>
      </c>
      <c r="E85" s="207"/>
      <c r="F85" s="244"/>
      <c r="G85" s="216"/>
      <c r="H85" s="216"/>
    </row>
    <row r="86" spans="1:8" ht="15">
      <c r="A86" s="93" t="e">
        <f>COUNTIF(#REF!,$F86)+COUNTIF(#REF!,$F86)+COUNTIF(#REF!,$F86)+COUNTIF(#REF!,$F86)+COUNTIF(#REF!,$F86)+COUNTIF('2.8.Felúj.'!$B$1:$B$938,$F86)+COUNTIF('2.5.Céltart'!$B$3:$B$985,$F86)</f>
        <v>#REF!</v>
      </c>
      <c r="B86" s="196">
        <v>84</v>
      </c>
      <c r="E86" s="207"/>
      <c r="F86" s="246"/>
      <c r="G86" s="216"/>
      <c r="H86" s="216"/>
    </row>
    <row r="87" spans="1:8" ht="15">
      <c r="A87" s="93" t="e">
        <f>COUNTIF(#REF!,$F87)+COUNTIF(#REF!,$F87)+COUNTIF(#REF!,$F87)+COUNTIF(#REF!,$F87)+COUNTIF(#REF!,$F87)+COUNTIF('2.8.Felúj.'!$B$1:$B$938,$F87)+COUNTIF('2.5.Céltart'!$B$3:$B$985,$F87)</f>
        <v>#REF!</v>
      </c>
      <c r="B87" s="196">
        <v>85</v>
      </c>
      <c r="E87" s="207"/>
      <c r="F87" s="250"/>
      <c r="G87" s="216"/>
      <c r="H87" s="216"/>
    </row>
    <row r="88" spans="1:8" ht="15">
      <c r="A88" s="93" t="e">
        <f>COUNTIF(#REF!,$F88)+COUNTIF(#REF!,$F88)+COUNTIF(#REF!,$F88)+COUNTIF(#REF!,$F88)+COUNTIF(#REF!,$F88)+COUNTIF('2.8.Felúj.'!$B$1:$B$938,$F88)+COUNTIF('2.5.Céltart'!$B$3:$B$985,$F88)</f>
        <v>#REF!</v>
      </c>
      <c r="B88" s="196">
        <v>86</v>
      </c>
      <c r="E88" s="207"/>
      <c r="F88" s="253"/>
      <c r="G88" s="216"/>
      <c r="H88" s="216"/>
    </row>
    <row r="89" spans="1:8" ht="15">
      <c r="A89" s="93" t="e">
        <f>COUNTIF(#REF!,$F89)+COUNTIF(#REF!,$F89)+COUNTIF(#REF!,$F89)+COUNTIF(#REF!,$F89)+COUNTIF(#REF!,$F89)+COUNTIF('2.8.Felúj.'!$B$1:$B$938,$F89)+COUNTIF('2.5.Céltart'!$B$3:$B$985,$F89)</f>
        <v>#REF!</v>
      </c>
      <c r="B89" s="196">
        <v>87</v>
      </c>
      <c r="E89" s="207"/>
      <c r="F89" s="80"/>
      <c r="G89" s="216"/>
      <c r="H89" s="216"/>
    </row>
    <row r="90" spans="1:8" ht="15">
      <c r="A90" s="93" t="e">
        <f>COUNTIF(#REF!,$F90)+COUNTIF(#REF!,$F90)+COUNTIF(#REF!,$F90)+COUNTIF(#REF!,$F90)+COUNTIF(#REF!,$F90)+COUNTIF('2.8.Felúj.'!$B$1:$B$938,$F90)+COUNTIF('2.5.Céltart'!$B$3:$B$985,$F90)</f>
        <v>#REF!</v>
      </c>
      <c r="B90" s="196">
        <v>88</v>
      </c>
      <c r="E90" s="207"/>
      <c r="F90" s="177"/>
      <c r="G90" s="216"/>
      <c r="H90" s="216"/>
    </row>
    <row r="91" spans="1:8" ht="15">
      <c r="A91" s="93" t="e">
        <f>COUNTIF(#REF!,$F91)+COUNTIF(#REF!,$F91)+COUNTIF(#REF!,$F91)+COUNTIF(#REF!,$F91)+COUNTIF(#REF!,$F91)+COUNTIF('2.8.Felúj.'!$B$1:$B$938,$F91)+COUNTIF('2.5.Céltart'!$B$3:$B$985,$F91)</f>
        <v>#REF!</v>
      </c>
      <c r="B91" s="196">
        <v>89</v>
      </c>
      <c r="E91" s="207"/>
      <c r="F91" s="177"/>
      <c r="G91" s="216"/>
      <c r="H91" s="216"/>
    </row>
    <row r="92" spans="1:8" ht="15">
      <c r="A92" s="93" t="e">
        <f>COUNTIF(#REF!,$F92)+COUNTIF(#REF!,$F92)+COUNTIF(#REF!,$F92)+COUNTIF(#REF!,$F92)+COUNTIF(#REF!,$F92)+COUNTIF('2.8.Felúj.'!$B$1:$B$938,$F92)+COUNTIF('2.5.Céltart'!$B$3:$B$985,$F92)</f>
        <v>#REF!</v>
      </c>
      <c r="B92" s="196">
        <v>90</v>
      </c>
      <c r="E92" s="207"/>
      <c r="F92" s="80"/>
      <c r="G92" s="216"/>
      <c r="H92" s="216"/>
    </row>
    <row r="93" spans="1:8" ht="15">
      <c r="A93" s="93" t="e">
        <f>COUNTIF(#REF!,$F93)+COUNTIF(#REF!,$F93)+COUNTIF(#REF!,$F93)+COUNTIF(#REF!,$F93)+COUNTIF(#REF!,$F93)+COUNTIF('2.8.Felúj.'!$B$1:$B$938,$F93)+COUNTIF('2.5.Céltart'!$B$3:$B$985,$F93)</f>
        <v>#REF!</v>
      </c>
      <c r="B93" s="196">
        <v>91</v>
      </c>
      <c r="E93" s="207"/>
      <c r="F93" s="245"/>
      <c r="G93" s="216"/>
      <c r="H93" s="216"/>
    </row>
    <row r="94" spans="1:8" ht="15">
      <c r="A94" s="93" t="e">
        <f>COUNTIF(#REF!,$F94)+COUNTIF(#REF!,$F94)+COUNTIF(#REF!,$F94)+COUNTIF(#REF!,$F94)+COUNTIF(#REF!,$F94)+COUNTIF('2.8.Felúj.'!$B$1:$B$938,$F94)+COUNTIF('2.5.Céltart'!$B$3:$B$985,$F94)</f>
        <v>#REF!</v>
      </c>
      <c r="B94" s="196">
        <v>92</v>
      </c>
      <c r="E94" s="207"/>
      <c r="F94" s="234"/>
      <c r="G94" s="216"/>
      <c r="H94" s="216"/>
    </row>
    <row r="95" spans="1:8" ht="15">
      <c r="A95" s="93" t="e">
        <f>COUNTIF(#REF!,$F95)+COUNTIF(#REF!,$F95)+COUNTIF(#REF!,$F95)+COUNTIF(#REF!,$F95)+COUNTIF(#REF!,$F95)+COUNTIF('2.8.Felúj.'!$B$1:$B$938,$F95)+COUNTIF('2.5.Céltart'!$B$3:$B$985,$F95)</f>
        <v>#REF!</v>
      </c>
      <c r="B95" s="196">
        <v>93</v>
      </c>
      <c r="E95" s="207"/>
      <c r="F95" s="234"/>
      <c r="G95" s="216"/>
      <c r="H95" s="216"/>
    </row>
    <row r="96" spans="1:8" ht="15">
      <c r="A96" s="93" t="e">
        <f>COUNTIF(#REF!,$F96)+COUNTIF(#REF!,$F96)+COUNTIF(#REF!,$F96)+COUNTIF(#REF!,$F96)+COUNTIF(#REF!,$F96)+COUNTIF('2.8.Felúj.'!$B$1:$B$938,$F96)+COUNTIF('2.5.Céltart'!$B$3:$B$985,$F96)</f>
        <v>#REF!</v>
      </c>
      <c r="B96" s="196">
        <v>94</v>
      </c>
      <c r="E96" s="207"/>
      <c r="F96" s="234"/>
      <c r="G96" s="216"/>
      <c r="H96" s="216"/>
    </row>
    <row r="97" spans="1:8" ht="15">
      <c r="A97" s="93" t="e">
        <f>COUNTIF(#REF!,$F97)+COUNTIF(#REF!,$F97)+COUNTIF(#REF!,$F97)+COUNTIF(#REF!,$F97)+COUNTIF(#REF!,$F97)+COUNTIF('2.8.Felúj.'!$B$1:$B$938,$F97)+COUNTIF('2.5.Céltart'!$B$3:$B$985,$F97)</f>
        <v>#REF!</v>
      </c>
      <c r="B97" s="196">
        <v>95</v>
      </c>
      <c r="E97" s="207"/>
      <c r="F97" s="234"/>
      <c r="G97" s="216"/>
      <c r="H97" s="216"/>
    </row>
    <row r="98" spans="1:8" ht="15">
      <c r="A98" s="93" t="e">
        <f>COUNTIF(#REF!,$F98)+COUNTIF(#REF!,$F98)+COUNTIF(#REF!,$F98)+COUNTIF(#REF!,$F98)+COUNTIF(#REF!,$F98)+COUNTIF('2.8.Felúj.'!$B$1:$B$938,$F98)+COUNTIF('2.5.Céltart'!$B$3:$B$985,$F98)</f>
        <v>#REF!</v>
      </c>
      <c r="B98" s="196">
        <v>96</v>
      </c>
      <c r="E98" s="207"/>
      <c r="F98" s="234"/>
      <c r="G98" s="216"/>
      <c r="H98" s="216"/>
    </row>
    <row r="99" spans="1:8" ht="15">
      <c r="A99" s="93" t="e">
        <f>COUNTIF(#REF!,$F99)+COUNTIF(#REF!,$F99)+COUNTIF(#REF!,$F99)+COUNTIF(#REF!,$F99)+COUNTIF(#REF!,$F99)+COUNTIF('2.8.Felúj.'!$B$1:$B$938,$F99)+COUNTIF('2.5.Céltart'!$B$3:$B$985,$F99)</f>
        <v>#REF!</v>
      </c>
      <c r="B99" s="196">
        <v>97</v>
      </c>
      <c r="E99" s="207"/>
      <c r="F99" s="234"/>
      <c r="G99" s="216"/>
      <c r="H99" s="216"/>
    </row>
    <row r="100" spans="1:8" ht="15">
      <c r="A100" s="93" t="e">
        <f>COUNTIF(#REF!,$F100)+COUNTIF(#REF!,$F100)+COUNTIF(#REF!,$F100)+COUNTIF(#REF!,$F100)+COUNTIF(#REF!,$F100)+COUNTIF('2.8.Felúj.'!$B$1:$B$938,$F100)+COUNTIF('2.5.Céltart'!$B$3:$B$985,$F100)</f>
        <v>#REF!</v>
      </c>
      <c r="B100" s="196">
        <v>98</v>
      </c>
      <c r="E100" s="207"/>
      <c r="F100" s="234"/>
      <c r="G100" s="216"/>
      <c r="H100" s="216"/>
    </row>
    <row r="101" spans="1:8" ht="15">
      <c r="A101" s="93" t="e">
        <f>COUNTIF(#REF!,$F101)+COUNTIF(#REF!,$F101)+COUNTIF(#REF!,$F101)+COUNTIF(#REF!,$F101)+COUNTIF(#REF!,$F101)+COUNTIF('2.8.Felúj.'!$B$1:$B$938,$F101)+COUNTIF('2.5.Céltart'!$B$3:$B$985,$F101)</f>
        <v>#REF!</v>
      </c>
      <c r="B101" s="196">
        <v>99</v>
      </c>
      <c r="E101" s="207"/>
      <c r="F101" s="234"/>
      <c r="G101" s="216"/>
      <c r="H101" s="216"/>
    </row>
    <row r="102" spans="1:8" ht="15">
      <c r="A102" s="93" t="e">
        <f>COUNTIF(#REF!,$F102)+COUNTIF(#REF!,$F102)+COUNTIF(#REF!,$F102)+COUNTIF(#REF!,$F102)+COUNTIF(#REF!,$F102)+COUNTIF('2.8.Felúj.'!$B$1:$B$938,$F102)+COUNTIF('2.5.Céltart'!$B$3:$B$985,$F102)</f>
        <v>#REF!</v>
      </c>
      <c r="B102" s="196">
        <v>100</v>
      </c>
      <c r="E102" s="207"/>
      <c r="F102" s="234"/>
      <c r="G102" s="216"/>
      <c r="H102" s="216"/>
    </row>
    <row r="103" spans="1:8" ht="15">
      <c r="A103" s="93" t="e">
        <f>COUNTIF(#REF!,$F103)+COUNTIF(#REF!,$F103)+COUNTIF(#REF!,$F103)+COUNTIF(#REF!,$F103)+COUNTIF(#REF!,$F103)+COUNTIF('2.8.Felúj.'!$B$1:$B$938,$F103)+COUNTIF('2.5.Céltart'!$B$3:$B$985,$F103)</f>
        <v>#REF!</v>
      </c>
      <c r="B103" s="196">
        <v>101</v>
      </c>
      <c r="E103" s="207"/>
      <c r="F103" s="235"/>
      <c r="G103" s="216"/>
      <c r="H103" s="216"/>
    </row>
    <row r="104" spans="1:8" ht="15">
      <c r="A104" s="93" t="e">
        <f>COUNTIF(#REF!,$F104)+COUNTIF(#REF!,$F104)+COUNTIF(#REF!,$F104)+COUNTIF(#REF!,$F104)+COUNTIF(#REF!,$F104)+COUNTIF('2.8.Felúj.'!$B$1:$B$938,$F104)+COUNTIF('2.5.Céltart'!$B$3:$B$985,$F104)</f>
        <v>#REF!</v>
      </c>
      <c r="B104" s="196">
        <v>102</v>
      </c>
      <c r="E104" s="207"/>
      <c r="F104" s="250"/>
      <c r="G104" s="216"/>
      <c r="H104" s="216"/>
    </row>
    <row r="105" spans="1:8" ht="15">
      <c r="A105" s="93" t="e">
        <f>COUNTIF(#REF!,$F105)+COUNTIF(#REF!,$F105)+COUNTIF(#REF!,$F105)+COUNTIF(#REF!,$F105)+COUNTIF(#REF!,$F105)+COUNTIF('2.8.Felúj.'!$B$1:$B$938,$F105)+COUNTIF('2.5.Céltart'!$B$3:$B$985,$F105)</f>
        <v>#REF!</v>
      </c>
      <c r="B105" s="196">
        <v>103</v>
      </c>
      <c r="E105" s="207"/>
      <c r="F105" s="177"/>
      <c r="G105" s="216"/>
      <c r="H105" s="216"/>
    </row>
    <row r="106" spans="1:8" ht="15">
      <c r="A106" s="93" t="e">
        <f>COUNTIF(#REF!,$F106)+COUNTIF(#REF!,$F106)+COUNTIF(#REF!,$F106)+COUNTIF(#REF!,$F106)+COUNTIF(#REF!,$F106)+COUNTIF('2.8.Felúj.'!$B$1:$B$938,$F106)+COUNTIF('2.5.Céltart'!$B$3:$B$985,$F106)</f>
        <v>#REF!</v>
      </c>
      <c r="B106" s="196">
        <v>104</v>
      </c>
      <c r="E106" s="207"/>
      <c r="F106" s="177"/>
      <c r="G106" s="216"/>
      <c r="H106" s="216"/>
    </row>
    <row r="107" spans="1:8" ht="15">
      <c r="A107" s="93" t="e">
        <f>COUNTIF(#REF!,$F107)+COUNTIF(#REF!,$F107)+COUNTIF(#REF!,$F107)+COUNTIF(#REF!,$F107)+COUNTIF(#REF!,$F107)+COUNTIF('2.8.Felúj.'!$B$1:$B$938,$F107)+COUNTIF('2.5.Céltart'!$B$3:$B$985,$F107)</f>
        <v>#REF!</v>
      </c>
      <c r="B107" s="196">
        <v>105</v>
      </c>
      <c r="E107" s="207"/>
      <c r="F107" s="244"/>
      <c r="G107" s="216"/>
      <c r="H107" s="216"/>
    </row>
    <row r="108" spans="1:8" ht="15">
      <c r="A108" s="93" t="e">
        <f>COUNTIF(#REF!,$F108)+COUNTIF(#REF!,$F108)+COUNTIF(#REF!,$F108)+COUNTIF(#REF!,$F108)+COUNTIF(#REF!,$F108)+COUNTIF('2.8.Felúj.'!$B$1:$B$938,$F108)+COUNTIF('2.5.Céltart'!$B$3:$B$985,$F108)</f>
        <v>#REF!</v>
      </c>
      <c r="B108" s="196">
        <v>106</v>
      </c>
      <c r="E108" s="207"/>
      <c r="F108" s="177"/>
      <c r="G108" s="216"/>
      <c r="H108" s="216"/>
    </row>
    <row r="109" spans="1:8" ht="15">
      <c r="A109" s="93" t="e">
        <f>COUNTIF(#REF!,$F109)+COUNTIF(#REF!,$F109)+COUNTIF(#REF!,$F109)+COUNTIF(#REF!,$F109)+COUNTIF(#REF!,$F109)+COUNTIF('2.8.Felúj.'!$B$1:$B$938,$F109)+COUNTIF('2.5.Céltart'!$B$3:$B$985,$F109)</f>
        <v>#REF!</v>
      </c>
      <c r="B109" s="196">
        <v>107</v>
      </c>
      <c r="E109" s="207"/>
      <c r="F109" s="80"/>
      <c r="G109" s="216"/>
      <c r="H109" s="216"/>
    </row>
    <row r="110" spans="1:8" ht="15">
      <c r="A110" s="93" t="e">
        <f>COUNTIF(#REF!,$F110)+COUNTIF(#REF!,$F110)+COUNTIF(#REF!,$F110)+COUNTIF(#REF!,$F110)+COUNTIF(#REF!,$F110)+COUNTIF('2.8.Felúj.'!$B$1:$B$938,$F110)+COUNTIF('2.5.Céltart'!$B$3:$B$985,$F110)</f>
        <v>#REF!</v>
      </c>
      <c r="B110" s="196">
        <v>108</v>
      </c>
      <c r="E110" s="207"/>
      <c r="F110" s="177"/>
      <c r="G110" s="216"/>
      <c r="H110" s="216"/>
    </row>
    <row r="111" spans="1:8" ht="15">
      <c r="A111" s="93" t="e">
        <f>COUNTIF(#REF!,$F111)+COUNTIF(#REF!,$F111)+COUNTIF(#REF!,$F111)+COUNTIF(#REF!,$F111)+COUNTIF(#REF!,$F111)+COUNTIF('2.8.Felúj.'!$B$1:$B$938,$F111)+COUNTIF('2.5.Céltart'!$B$3:$B$985,$F111)</f>
        <v>#REF!</v>
      </c>
      <c r="B111" s="196">
        <v>109</v>
      </c>
      <c r="E111" s="207"/>
      <c r="F111" s="246"/>
      <c r="G111" s="216"/>
      <c r="H111" s="216"/>
    </row>
    <row r="112" spans="1:8" ht="15">
      <c r="A112" s="93" t="e">
        <f>COUNTIF(#REF!,$F112)+COUNTIF(#REF!,$F112)+COUNTIF(#REF!,$F112)+COUNTIF(#REF!,$F112)+COUNTIF(#REF!,$F112)+COUNTIF('2.8.Felúj.'!$B$1:$B$938,$F112)+COUNTIF('2.5.Céltart'!$B$3:$B$985,$F112)</f>
        <v>#REF!</v>
      </c>
      <c r="B112" s="196">
        <v>110</v>
      </c>
      <c r="E112" s="207"/>
      <c r="F112" s="80"/>
      <c r="G112" s="216"/>
      <c r="H112" s="216"/>
    </row>
    <row r="113" spans="1:8" ht="15">
      <c r="A113" s="93" t="e">
        <f>COUNTIF(#REF!,$F113)+COUNTIF(#REF!,$F113)+COUNTIF(#REF!,$F113)+COUNTIF(#REF!,$F113)+COUNTIF(#REF!,$F113)+COUNTIF('2.8.Felúj.'!$B$1:$B$938,$F113)+COUNTIF('2.5.Céltart'!$B$3:$B$985,$F113)</f>
        <v>#REF!</v>
      </c>
      <c r="B113" s="196">
        <v>111</v>
      </c>
      <c r="E113" s="207"/>
      <c r="F113" s="244"/>
      <c r="G113" s="216"/>
      <c r="H113" s="216"/>
    </row>
    <row r="114" spans="1:8" ht="15">
      <c r="A114" s="93" t="e">
        <f>COUNTIF(#REF!,$F114)+COUNTIF(#REF!,$F114)+COUNTIF(#REF!,$F114)+COUNTIF(#REF!,$F114)+COUNTIF(#REF!,$F114)+COUNTIF('2.8.Felúj.'!$B$1:$B$938,$F114)+COUNTIF('2.5.Céltart'!$B$3:$B$985,$F114)</f>
        <v>#REF!</v>
      </c>
      <c r="B114" s="196">
        <v>112</v>
      </c>
      <c r="E114" s="207"/>
      <c r="F114" s="81"/>
      <c r="G114" s="216"/>
      <c r="H114" s="216"/>
    </row>
    <row r="115" spans="1:8" ht="15">
      <c r="A115" s="93" t="e">
        <f>COUNTIF(#REF!,$F115)+COUNTIF(#REF!,$F115)+COUNTIF(#REF!,$F115)+COUNTIF(#REF!,$F115)+COUNTIF(#REF!,$F115)+COUNTIF('2.8.Felúj.'!$B$1:$B$938,$F115)+COUNTIF('2.5.Céltart'!$B$3:$B$985,$F115)</f>
        <v>#REF!</v>
      </c>
      <c r="B115" s="196">
        <v>113</v>
      </c>
      <c r="E115" s="207"/>
      <c r="F115" s="81"/>
      <c r="G115" s="216"/>
      <c r="H115" s="216"/>
    </row>
    <row r="116" spans="1:8" ht="15">
      <c r="A116" s="93" t="e">
        <f>COUNTIF(#REF!,$F116)+COUNTIF(#REF!,$F116)+COUNTIF(#REF!,$F116)+COUNTIF(#REF!,$F116)+COUNTIF(#REF!,$F116)+COUNTIF('2.8.Felúj.'!$B$1:$B$938,$F116)+COUNTIF('2.5.Céltart'!$B$3:$B$985,$F116)</f>
        <v>#REF!</v>
      </c>
      <c r="B116" s="196">
        <v>114</v>
      </c>
      <c r="E116" s="207"/>
      <c r="F116" s="81"/>
      <c r="G116" s="216"/>
      <c r="H116" s="216"/>
    </row>
    <row r="117" spans="1:8" ht="15">
      <c r="A117" s="93" t="e">
        <f>COUNTIF(#REF!,$F117)+COUNTIF(#REF!,$F117)+COUNTIF(#REF!,$F117)+COUNTIF(#REF!,$F117)+COUNTIF(#REF!,$F117)+COUNTIF('2.8.Felúj.'!$B$1:$B$938,$F117)+COUNTIF('2.5.Céltart'!$B$3:$B$985,$F117)</f>
        <v>#REF!</v>
      </c>
      <c r="B117" s="196">
        <v>115</v>
      </c>
      <c r="E117" s="207"/>
      <c r="F117" s="81"/>
      <c r="G117" s="216"/>
      <c r="H117" s="216"/>
    </row>
    <row r="118" spans="1:8" ht="15">
      <c r="A118" s="93" t="e">
        <f>COUNTIF(#REF!,$F118)+COUNTIF(#REF!,$F118)+COUNTIF(#REF!,$F118)+COUNTIF(#REF!,$F118)+COUNTIF(#REF!,$F118)+COUNTIF('2.8.Felúj.'!$B$1:$B$938,$F118)+COUNTIF('2.5.Céltart'!$B$3:$B$985,$F118)</f>
        <v>#REF!</v>
      </c>
      <c r="B118" s="196">
        <v>116</v>
      </c>
      <c r="E118" s="207"/>
      <c r="F118" s="81"/>
      <c r="G118" s="216"/>
      <c r="H118" s="216"/>
    </row>
    <row r="119" spans="1:8" ht="15">
      <c r="A119" s="93" t="e">
        <f>COUNTIF(#REF!,$F119)+COUNTIF(#REF!,$F119)+COUNTIF(#REF!,$F119)+COUNTIF(#REF!,$F119)+COUNTIF(#REF!,$F119)+COUNTIF('2.8.Felúj.'!$B$1:$B$938,$F119)+COUNTIF('2.5.Céltart'!$B$3:$B$985,$F119)</f>
        <v>#REF!</v>
      </c>
      <c r="B119" s="196">
        <v>117</v>
      </c>
      <c r="E119" s="207"/>
      <c r="F119" s="80"/>
      <c r="G119" s="216"/>
      <c r="H119" s="216"/>
    </row>
    <row r="120" spans="1:8" ht="15">
      <c r="A120" s="93" t="e">
        <f>COUNTIF(#REF!,$F120)+COUNTIF(#REF!,$F120)+COUNTIF(#REF!,$F120)+COUNTIF(#REF!,$F120)+COUNTIF(#REF!,$F120)+COUNTIF('2.8.Felúj.'!$B$1:$B$938,$F120)+COUNTIF('2.5.Céltart'!$B$3:$B$985,$F120)</f>
        <v>#REF!</v>
      </c>
      <c r="B120" s="196">
        <v>118</v>
      </c>
      <c r="E120" s="207"/>
      <c r="F120" s="177"/>
      <c r="G120" s="216"/>
      <c r="H120" s="216"/>
    </row>
    <row r="121" spans="1:8" ht="15">
      <c r="A121" s="93" t="e">
        <f>COUNTIF(#REF!,$F121)+COUNTIF(#REF!,$F121)+COUNTIF(#REF!,$F121)+COUNTIF(#REF!,$F121)+COUNTIF(#REF!,$F121)+COUNTIF('2.8.Felúj.'!$B$1:$B$938,$F121)+COUNTIF('2.5.Céltart'!$B$3:$B$985,$F121)</f>
        <v>#REF!</v>
      </c>
      <c r="B121" s="196">
        <v>119</v>
      </c>
      <c r="E121" s="207"/>
      <c r="F121" s="177"/>
      <c r="G121" s="216"/>
      <c r="H121" s="216"/>
    </row>
    <row r="122" spans="1:8" ht="15">
      <c r="A122" s="93" t="e">
        <f>COUNTIF(#REF!,$F122)+COUNTIF(#REF!,$F122)+COUNTIF(#REF!,$F122)+COUNTIF(#REF!,$F122)+COUNTIF(#REF!,$F122)+COUNTIF('2.8.Felúj.'!$B$1:$B$938,$F122)+COUNTIF('2.5.Céltart'!$B$3:$B$985,$F122)</f>
        <v>#REF!</v>
      </c>
      <c r="B122" s="196">
        <v>120</v>
      </c>
      <c r="E122" s="207"/>
      <c r="F122" s="246"/>
      <c r="G122" s="216"/>
      <c r="H122" s="216"/>
    </row>
    <row r="123" spans="1:8" ht="15">
      <c r="A123" s="93" t="e">
        <f>COUNTIF(#REF!,$F123)+COUNTIF(#REF!,$F123)+COUNTIF(#REF!,$F123)+COUNTIF(#REF!,$F123)+COUNTIF(#REF!,$F123)+COUNTIF('2.8.Felúj.'!$B$1:$B$938,$F123)+COUNTIF('2.5.Céltart'!$B$3:$B$985,$F123)</f>
        <v>#REF!</v>
      </c>
      <c r="B123" s="196">
        <v>121</v>
      </c>
      <c r="E123" s="207"/>
      <c r="F123" s="80"/>
      <c r="G123" s="216"/>
      <c r="H123" s="216"/>
    </row>
    <row r="124" spans="1:8" ht="15">
      <c r="A124" s="93" t="e">
        <f>COUNTIF(#REF!,$F124)+COUNTIF(#REF!,$F124)+COUNTIF(#REF!,$F124)+COUNTIF(#REF!,$F124)+COUNTIF(#REF!,$F124)+COUNTIF('2.8.Felúj.'!$B$1:$B$938,$F124)+COUNTIF('2.5.Céltart'!$B$3:$B$985,$F124)</f>
        <v>#REF!</v>
      </c>
      <c r="B124" s="196">
        <v>122</v>
      </c>
      <c r="E124" s="207"/>
      <c r="F124" s="246"/>
      <c r="G124" s="216"/>
      <c r="H124" s="216"/>
    </row>
    <row r="125" spans="1:8" ht="15">
      <c r="A125" s="93" t="e">
        <f>COUNTIF(#REF!,$F125)+COUNTIF(#REF!,$F125)+COUNTIF(#REF!,$F125)+COUNTIF(#REF!,$F125)+COUNTIF(#REF!,$F125)+COUNTIF('2.8.Felúj.'!$B$1:$B$938,$F125)+COUNTIF('2.5.Céltart'!$B$3:$B$985,$F125)</f>
        <v>#REF!</v>
      </c>
      <c r="B125" s="196">
        <v>123</v>
      </c>
      <c r="E125" s="207"/>
      <c r="F125" s="177"/>
      <c r="G125" s="216"/>
      <c r="H125" s="216"/>
    </row>
    <row r="126" spans="1:8" ht="15">
      <c r="A126" s="93" t="e">
        <f>COUNTIF(#REF!,$F126)+COUNTIF(#REF!,$F126)+COUNTIF(#REF!,$F126)+COUNTIF(#REF!,$F126)+COUNTIF(#REF!,$F126)+COUNTIF('2.8.Felúj.'!$B$1:$B$938,$F126)+COUNTIF('2.5.Céltart'!$B$3:$B$985,$F126)</f>
        <v>#REF!</v>
      </c>
      <c r="B126" s="196">
        <v>124</v>
      </c>
      <c r="E126" s="207"/>
      <c r="F126" s="177"/>
      <c r="G126" s="216"/>
      <c r="H126" s="216"/>
    </row>
    <row r="127" spans="1:8" ht="15">
      <c r="A127" s="93" t="e">
        <f>COUNTIF(#REF!,$F127)+COUNTIF(#REF!,$F127)+COUNTIF(#REF!,$F127)+COUNTIF(#REF!,$F127)+COUNTIF(#REF!,$F127)+COUNTIF('2.8.Felúj.'!$B$1:$B$938,$F127)+COUNTIF('2.5.Céltart'!$B$3:$B$985,$F127)</f>
        <v>#REF!</v>
      </c>
      <c r="B127" s="196">
        <v>125</v>
      </c>
      <c r="E127" s="207"/>
      <c r="F127" s="177"/>
      <c r="G127" s="216"/>
      <c r="H127" s="216"/>
    </row>
    <row r="128" spans="1:8" ht="15">
      <c r="A128" s="93" t="e">
        <f>COUNTIF(#REF!,$F128)+COUNTIF(#REF!,$F128)+COUNTIF(#REF!,$F128)+COUNTIF(#REF!,$F128)+COUNTIF(#REF!,$F128)+COUNTIF('2.8.Felúj.'!$B$1:$B$938,$F128)+COUNTIF('2.5.Céltart'!$B$3:$B$985,$F128)</f>
        <v>#REF!</v>
      </c>
      <c r="B128" s="196">
        <v>126</v>
      </c>
      <c r="E128" s="207"/>
      <c r="F128" s="246"/>
      <c r="G128" s="216"/>
      <c r="H128" s="216"/>
    </row>
    <row r="129" spans="1:8" ht="15">
      <c r="A129" s="93" t="e">
        <f>COUNTIF(#REF!,$F129)+COUNTIF(#REF!,$F129)+COUNTIF(#REF!,$F129)+COUNTIF(#REF!,$F129)+COUNTIF(#REF!,$F129)+COUNTIF('2.8.Felúj.'!$B$1:$B$938,$F129)+COUNTIF('2.5.Céltart'!$B$3:$B$985,$F129)</f>
        <v>#REF!</v>
      </c>
      <c r="B129" s="196">
        <v>127</v>
      </c>
      <c r="E129" s="207"/>
      <c r="F129" s="246"/>
      <c r="G129" s="216"/>
      <c r="H129" s="216"/>
    </row>
    <row r="130" spans="1:8" ht="15">
      <c r="A130" s="93" t="e">
        <f>COUNTIF(#REF!,$F130)+COUNTIF(#REF!,$F130)+COUNTIF(#REF!,$F130)+COUNTIF(#REF!,$F130)+COUNTIF(#REF!,$F130)+COUNTIF('2.8.Felúj.'!$B$1:$B$938,$F130)+COUNTIF('2.5.Céltart'!$B$3:$B$985,$F130)</f>
        <v>#REF!</v>
      </c>
      <c r="B130" s="196">
        <v>128</v>
      </c>
      <c r="E130" s="207"/>
      <c r="F130" s="246"/>
      <c r="G130" s="216"/>
      <c r="H130" s="216"/>
    </row>
    <row r="131" spans="1:8" ht="15">
      <c r="A131" s="93" t="e">
        <f>COUNTIF(#REF!,$F131)+COUNTIF(#REF!,$F131)+COUNTIF(#REF!,$F131)+COUNTIF(#REF!,$F131)+COUNTIF(#REF!,$F131)+COUNTIF('2.8.Felúj.'!$B$1:$B$938,$F131)+COUNTIF('2.5.Céltart'!$B$3:$B$985,$F131)</f>
        <v>#REF!</v>
      </c>
      <c r="B131" s="196">
        <v>129</v>
      </c>
      <c r="E131" s="207"/>
      <c r="F131" s="177"/>
      <c r="G131" s="216"/>
      <c r="H131" s="216"/>
    </row>
    <row r="132" spans="1:8" ht="15">
      <c r="A132" s="93" t="e">
        <f>COUNTIF(#REF!,$F132)+COUNTIF(#REF!,$F132)+COUNTIF(#REF!,$F132)+COUNTIF(#REF!,$F132)+COUNTIF(#REF!,$F132)+COUNTIF('2.8.Felúj.'!$B$1:$B$938,$F132)+COUNTIF('2.5.Céltart'!$B$3:$B$985,$F132)</f>
        <v>#REF!</v>
      </c>
      <c r="B132" s="196">
        <v>130</v>
      </c>
      <c r="E132" s="207"/>
      <c r="F132" s="177"/>
      <c r="G132" s="216"/>
      <c r="H132" s="216"/>
    </row>
    <row r="133" spans="1:8" ht="15">
      <c r="A133" s="93" t="e">
        <f>COUNTIF(#REF!,$F133)+COUNTIF(#REF!,$F133)+COUNTIF(#REF!,$F133)+COUNTIF(#REF!,$F133)+COUNTIF(#REF!,$F133)+COUNTIF('2.8.Felúj.'!$B$1:$B$938,$F133)+COUNTIF('2.5.Céltart'!$B$3:$B$985,$F133)</f>
        <v>#REF!</v>
      </c>
      <c r="B133" s="196">
        <v>131</v>
      </c>
      <c r="E133" s="207"/>
      <c r="F133" s="246"/>
      <c r="G133" s="216"/>
      <c r="H133" s="216"/>
    </row>
    <row r="134" spans="1:8" ht="15">
      <c r="A134" s="93" t="e">
        <f>COUNTIF(#REF!,$F134)+COUNTIF(#REF!,$F134)+COUNTIF(#REF!,$F134)+COUNTIF(#REF!,$F134)+COUNTIF(#REF!,$F134)+COUNTIF('2.8.Felúj.'!$B$1:$B$938,$F134)+COUNTIF('2.5.Céltart'!$B$3:$B$985,$F134)</f>
        <v>#REF!</v>
      </c>
      <c r="B134" s="196">
        <v>132</v>
      </c>
      <c r="E134" s="207"/>
      <c r="F134" s="246"/>
      <c r="G134" s="216"/>
      <c r="H134" s="216"/>
    </row>
    <row r="135" spans="1:8" ht="15">
      <c r="A135" s="93" t="e">
        <f>COUNTIF(#REF!,$F135)+COUNTIF(#REF!,$F135)+COUNTIF(#REF!,$F135)+COUNTIF(#REF!,$F135)+COUNTIF(#REF!,$F135)+COUNTIF('2.8.Felúj.'!$B$1:$B$938,$F135)+COUNTIF('2.5.Céltart'!$B$3:$B$985,$F135)</f>
        <v>#REF!</v>
      </c>
      <c r="B135" s="196">
        <v>133</v>
      </c>
      <c r="E135" s="207"/>
      <c r="F135" s="246"/>
      <c r="G135" s="216"/>
      <c r="H135" s="216"/>
    </row>
    <row r="136" spans="1:8" ht="15">
      <c r="A136" s="93" t="e">
        <f>COUNTIF(#REF!,$F136)+COUNTIF(#REF!,$F136)+COUNTIF(#REF!,$F136)+COUNTIF(#REF!,$F136)+COUNTIF(#REF!,$F136)+COUNTIF('2.8.Felúj.'!$B$1:$B$938,$F136)+COUNTIF('2.5.Céltart'!$B$3:$B$985,$F136)</f>
        <v>#REF!</v>
      </c>
      <c r="B136" s="196">
        <v>134</v>
      </c>
      <c r="E136" s="207"/>
      <c r="F136" s="246"/>
      <c r="G136" s="216"/>
      <c r="H136" s="216"/>
    </row>
    <row r="137" spans="1:8" ht="15">
      <c r="A137" s="93" t="e">
        <f>COUNTIF(#REF!,$F137)+COUNTIF(#REF!,$F137)+COUNTIF(#REF!,$F137)+COUNTIF(#REF!,$F137)+COUNTIF(#REF!,$F137)+COUNTIF('2.8.Felúj.'!$B$1:$B$938,$F137)+COUNTIF('2.5.Céltart'!$B$3:$B$985,$F137)</f>
        <v>#REF!</v>
      </c>
      <c r="B137" s="196">
        <v>135</v>
      </c>
      <c r="E137" s="207"/>
      <c r="F137" s="246"/>
      <c r="G137" s="216"/>
      <c r="H137" s="216"/>
    </row>
    <row r="138" spans="1:8" ht="15">
      <c r="A138" s="93" t="e">
        <f>COUNTIF(#REF!,$F138)+COUNTIF(#REF!,$F138)+COUNTIF(#REF!,$F138)+COUNTIF(#REF!,$F138)+COUNTIF(#REF!,$F138)+COUNTIF('2.8.Felúj.'!$B$1:$B$938,$F138)+COUNTIF('2.5.Céltart'!$B$3:$B$985,$F138)</f>
        <v>#REF!</v>
      </c>
      <c r="B138" s="196">
        <v>136</v>
      </c>
      <c r="E138" s="207"/>
      <c r="F138" s="246"/>
      <c r="G138" s="216"/>
      <c r="H138" s="216"/>
    </row>
    <row r="139" spans="1:8" ht="15">
      <c r="A139" s="93" t="e">
        <f>COUNTIF(#REF!,$F139)+COUNTIF(#REF!,$F139)+COUNTIF(#REF!,$F139)+COUNTIF(#REF!,$F139)+COUNTIF(#REF!,$F139)+COUNTIF('2.8.Felúj.'!$B$1:$B$938,$F139)+COUNTIF('2.5.Céltart'!$B$3:$B$985,$F139)</f>
        <v>#REF!</v>
      </c>
      <c r="B139" s="196">
        <v>137</v>
      </c>
      <c r="E139" s="207"/>
      <c r="F139" s="246"/>
      <c r="G139" s="216"/>
      <c r="H139" s="216"/>
    </row>
    <row r="140" spans="1:8" ht="15">
      <c r="A140" s="93" t="e">
        <f>COUNTIF(#REF!,$F140)+COUNTIF(#REF!,$F140)+COUNTIF(#REF!,$F140)+COUNTIF(#REF!,$F140)+COUNTIF(#REF!,$F140)+COUNTIF('2.8.Felúj.'!$B$1:$B$938,$F140)+COUNTIF('2.5.Céltart'!$B$3:$B$985,$F140)</f>
        <v>#REF!</v>
      </c>
      <c r="B140" s="196">
        <v>138</v>
      </c>
      <c r="E140" s="207"/>
      <c r="F140" s="246"/>
      <c r="G140" s="216"/>
      <c r="H140" s="216"/>
    </row>
    <row r="141" spans="1:8" ht="15">
      <c r="A141" s="93" t="e">
        <f>COUNTIF(#REF!,$F141)+COUNTIF(#REF!,$F141)+COUNTIF(#REF!,$F141)+COUNTIF(#REF!,$F141)+COUNTIF(#REF!,$F141)+COUNTIF('2.8.Felúj.'!$B$1:$B$938,$F141)+COUNTIF('2.5.Céltart'!$B$3:$B$985,$F141)</f>
        <v>#REF!</v>
      </c>
      <c r="B141" s="196">
        <v>139</v>
      </c>
      <c r="E141" s="207"/>
      <c r="F141" s="246"/>
      <c r="G141" s="216"/>
      <c r="H141" s="216"/>
    </row>
    <row r="142" spans="1:8" ht="15">
      <c r="A142" s="93" t="e">
        <f>COUNTIF(#REF!,$F142)+COUNTIF(#REF!,$F142)+COUNTIF(#REF!,$F142)+COUNTIF(#REF!,$F142)+COUNTIF(#REF!,$F142)+COUNTIF('2.8.Felúj.'!$B$1:$B$938,$F142)+COUNTIF('2.5.Céltart'!$B$3:$B$985,$F142)</f>
        <v>#REF!</v>
      </c>
      <c r="B142" s="196">
        <v>140</v>
      </c>
      <c r="E142" s="207"/>
      <c r="F142" s="215"/>
      <c r="G142" s="216"/>
      <c r="H142" s="216"/>
    </row>
    <row r="143" spans="1:8" ht="15">
      <c r="A143" s="93" t="e">
        <f>COUNTIF(#REF!,$F143)+COUNTIF(#REF!,$F143)+COUNTIF(#REF!,$F143)+COUNTIF(#REF!,$F143)+COUNTIF(#REF!,$F143)+COUNTIF('2.8.Felúj.'!$B$1:$B$938,$F143)+COUNTIF('2.5.Céltart'!$B$3:$B$985,$F143)</f>
        <v>#REF!</v>
      </c>
      <c r="B143" s="196">
        <v>141</v>
      </c>
      <c r="E143" s="207"/>
      <c r="F143" s="81"/>
      <c r="G143" s="216"/>
      <c r="H143" s="216"/>
    </row>
    <row r="144" spans="1:8" ht="15">
      <c r="A144" s="93" t="e">
        <f>COUNTIF(#REF!,$F144)+COUNTIF(#REF!,$F144)+COUNTIF(#REF!,$F144)+COUNTIF(#REF!,$F144)+COUNTIF(#REF!,$F144)+COUNTIF('2.8.Felúj.'!$B$1:$B$938,$F144)+COUNTIF('2.5.Céltart'!$B$3:$B$985,$F144)</f>
        <v>#REF!</v>
      </c>
      <c r="B144" s="196">
        <v>142</v>
      </c>
      <c r="E144" s="207"/>
      <c r="F144" s="80"/>
      <c r="G144" s="216"/>
      <c r="H144" s="216"/>
    </row>
    <row r="145" spans="1:8" ht="15">
      <c r="A145" s="93" t="e">
        <f>COUNTIF(#REF!,$F145)+COUNTIF(#REF!,$F145)+COUNTIF(#REF!,$F145)+COUNTIF(#REF!,$F145)+COUNTIF(#REF!,$F145)+COUNTIF('2.8.Felúj.'!$B$1:$B$938,$F145)+COUNTIF('2.5.Céltart'!$B$3:$B$985,$F145)</f>
        <v>#REF!</v>
      </c>
      <c r="B145" s="196">
        <v>143</v>
      </c>
      <c r="E145" s="207"/>
      <c r="F145" s="245"/>
      <c r="G145" s="216"/>
      <c r="H145" s="216"/>
    </row>
    <row r="146" spans="1:8" ht="15">
      <c r="A146" s="93" t="e">
        <f>COUNTIF(#REF!,$F146)+COUNTIF(#REF!,$F146)+COUNTIF(#REF!,$F146)+COUNTIF(#REF!,$F146)+COUNTIF(#REF!,$F146)+COUNTIF('2.8.Felúj.'!$B$1:$B$938,$F146)+COUNTIF('2.5.Céltart'!$B$3:$B$985,$F146)</f>
        <v>#REF!</v>
      </c>
      <c r="B146" s="196">
        <v>144</v>
      </c>
      <c r="E146" s="207"/>
      <c r="F146" s="234"/>
      <c r="G146" s="216"/>
      <c r="H146" s="216"/>
    </row>
    <row r="147" spans="1:8" ht="15">
      <c r="A147" s="93" t="e">
        <f>COUNTIF(#REF!,$F147)+COUNTIF(#REF!,$F147)+COUNTIF(#REF!,$F147)+COUNTIF(#REF!,$F147)+COUNTIF(#REF!,$F147)+COUNTIF('2.8.Felúj.'!$B$1:$B$938,$F147)+COUNTIF('2.5.Céltart'!$B$3:$B$985,$F147)</f>
        <v>#REF!</v>
      </c>
      <c r="B147" s="196">
        <v>145</v>
      </c>
      <c r="E147" s="207"/>
      <c r="F147" s="80"/>
      <c r="G147" s="216"/>
      <c r="H147" s="216"/>
    </row>
    <row r="148" spans="1:8" ht="15">
      <c r="A148" s="93" t="e">
        <f>COUNTIF(#REF!,$F148)+COUNTIF(#REF!,$F148)+COUNTIF(#REF!,$F148)+COUNTIF(#REF!,$F148)+COUNTIF(#REF!,$F148)+COUNTIF('2.8.Felúj.'!$B$1:$B$938,$F148)+COUNTIF('2.5.Céltart'!$B$3:$B$985,$F148)</f>
        <v>#REF!</v>
      </c>
      <c r="B148" s="196">
        <v>146</v>
      </c>
      <c r="E148" s="207"/>
      <c r="F148" s="177"/>
      <c r="G148" s="216"/>
      <c r="H148" s="216"/>
    </row>
    <row r="149" spans="1:8" ht="15">
      <c r="A149" s="93" t="e">
        <f>COUNTIF(#REF!,$F149)+COUNTIF(#REF!,$F149)+COUNTIF(#REF!,$F149)+COUNTIF(#REF!,$F149)+COUNTIF(#REF!,$F149)+COUNTIF('2.8.Felúj.'!$B$1:$B$938,$F149)+COUNTIF('2.5.Céltart'!$B$3:$B$985,$F149)</f>
        <v>#REF!</v>
      </c>
      <c r="B149" s="196">
        <v>147</v>
      </c>
      <c r="E149" s="207"/>
      <c r="F149" s="80"/>
      <c r="G149" s="216"/>
      <c r="H149" s="216"/>
    </row>
    <row r="150" spans="1:8" ht="15">
      <c r="A150" s="93" t="e">
        <f>COUNTIF(#REF!,$F150)+COUNTIF(#REF!,$F150)+COUNTIF(#REF!,$F150)+COUNTIF(#REF!,$F150)+COUNTIF(#REF!,$F150)+COUNTIF('2.8.Felúj.'!$B$1:$B$938,$F150)+COUNTIF('2.5.Céltart'!$B$3:$B$985,$F150)</f>
        <v>#REF!</v>
      </c>
      <c r="B150" s="196">
        <v>148</v>
      </c>
      <c r="E150" s="207"/>
      <c r="F150" s="80"/>
      <c r="G150" s="216"/>
      <c r="H150" s="216"/>
    </row>
    <row r="151" spans="1:8" ht="15">
      <c r="A151" s="93" t="e">
        <f>COUNTIF(#REF!,$F151)+COUNTIF(#REF!,$F151)+COUNTIF(#REF!,$F151)+COUNTIF(#REF!,$F151)+COUNTIF(#REF!,$F151)+COUNTIF('2.8.Felúj.'!$B$1:$B$938,$F151)+COUNTIF('2.5.Céltart'!$B$3:$B$985,$F151)</f>
        <v>#REF!</v>
      </c>
      <c r="B151" s="196">
        <v>149</v>
      </c>
      <c r="E151" s="207"/>
      <c r="F151" s="80"/>
      <c r="G151" s="216"/>
      <c r="H151" s="216"/>
    </row>
    <row r="152" spans="1:8" ht="15">
      <c r="A152" s="93" t="e">
        <f>COUNTIF(#REF!,$F152)+COUNTIF(#REF!,$F152)+COUNTIF(#REF!,$F152)+COUNTIF(#REF!,$F152)+COUNTIF(#REF!,$F152)+COUNTIF('2.8.Felúj.'!$B$1:$B$938,$F152)+COUNTIF('2.5.Céltart'!$B$3:$B$985,$F152)</f>
        <v>#REF!</v>
      </c>
      <c r="B152" s="196">
        <v>150</v>
      </c>
      <c r="E152" s="207"/>
      <c r="F152" s="80"/>
      <c r="G152" s="216"/>
      <c r="H152" s="216"/>
    </row>
    <row r="153" spans="1:8" ht="15">
      <c r="A153" s="93" t="e">
        <f>COUNTIF(#REF!,$F153)+COUNTIF(#REF!,$F153)+COUNTIF(#REF!,$F153)+COUNTIF(#REF!,$F153)+COUNTIF(#REF!,$F153)+COUNTIF('2.8.Felúj.'!$B$1:$B$938,$F153)+COUNTIF('2.5.Céltart'!$B$3:$B$985,$F153)</f>
        <v>#REF!</v>
      </c>
      <c r="B153" s="196">
        <v>151</v>
      </c>
      <c r="E153" s="207"/>
      <c r="F153" s="80"/>
      <c r="G153" s="216"/>
      <c r="H153" s="216"/>
    </row>
    <row r="154" spans="1:8" ht="15">
      <c r="A154" s="93" t="e">
        <f>COUNTIF(#REF!,$F154)+COUNTIF(#REF!,$F154)+COUNTIF(#REF!,$F154)+COUNTIF(#REF!,$F154)+COUNTIF(#REF!,$F154)+COUNTIF('2.8.Felúj.'!$B$1:$B$938,$F154)+COUNTIF('2.5.Céltart'!$B$3:$B$985,$F154)</f>
        <v>#REF!</v>
      </c>
      <c r="B154" s="196">
        <v>152</v>
      </c>
      <c r="E154" s="207"/>
      <c r="F154" s="183"/>
      <c r="G154" s="216"/>
      <c r="H154" s="216"/>
    </row>
    <row r="155" spans="1:8" ht="15">
      <c r="A155" s="93" t="e">
        <f>COUNTIF(#REF!,$F155)+COUNTIF(#REF!,$F155)+COUNTIF(#REF!,$F155)+COUNTIF(#REF!,$F155)+COUNTIF(#REF!,$F155)+COUNTIF('2.8.Felúj.'!$B$1:$B$938,$F155)+COUNTIF('2.5.Céltart'!$B$3:$B$985,$F155)</f>
        <v>#REF!</v>
      </c>
      <c r="B155" s="196">
        <v>153</v>
      </c>
      <c r="E155" s="207"/>
      <c r="F155" s="203"/>
      <c r="G155" s="216"/>
      <c r="H155" s="216"/>
    </row>
    <row r="156" spans="1:8" ht="15">
      <c r="A156" s="93" t="e">
        <f>COUNTIF(#REF!,$F156)+COUNTIF(#REF!,$F156)+COUNTIF(#REF!,$F156)+COUNTIF(#REF!,$F156)+COUNTIF(#REF!,$F156)+COUNTIF('2.8.Felúj.'!$B$1:$B$938,$F156)+COUNTIF('2.5.Céltart'!$B$3:$B$985,$F156)</f>
        <v>#REF!</v>
      </c>
      <c r="B156" s="196">
        <v>154</v>
      </c>
      <c r="E156" s="207"/>
      <c r="F156" s="80"/>
      <c r="G156" s="216"/>
      <c r="H156" s="216"/>
    </row>
    <row r="157" spans="1:8" ht="15">
      <c r="A157" s="93" t="e">
        <f>COUNTIF(#REF!,$F157)+COUNTIF(#REF!,$F157)+COUNTIF(#REF!,$F157)+COUNTIF(#REF!,$F157)+COUNTIF(#REF!,$F157)+COUNTIF('2.8.Felúj.'!$B$1:$B$938,$F157)+COUNTIF('2.5.Céltart'!$B$3:$B$985,$F157)</f>
        <v>#REF!</v>
      </c>
      <c r="B157" s="196">
        <v>155</v>
      </c>
      <c r="E157" s="207"/>
      <c r="F157" s="80"/>
      <c r="G157" s="216"/>
      <c r="H157" s="216"/>
    </row>
    <row r="158" spans="1:8" ht="15">
      <c r="A158" s="93" t="e">
        <f>COUNTIF(#REF!,$F158)+COUNTIF(#REF!,$F158)+COUNTIF(#REF!,$F158)+COUNTIF(#REF!,$F158)+COUNTIF(#REF!,$F158)+COUNTIF('2.8.Felúj.'!$B$1:$B$938,$F158)+COUNTIF('2.5.Céltart'!$B$3:$B$985,$F158)</f>
        <v>#REF!</v>
      </c>
      <c r="B158" s="196">
        <v>156</v>
      </c>
      <c r="E158" s="207"/>
      <c r="F158" s="183"/>
      <c r="G158" s="216"/>
      <c r="H158" s="216"/>
    </row>
    <row r="159" spans="1:8" ht="15">
      <c r="A159" s="93" t="e">
        <f>COUNTIF(#REF!,$F159)+COUNTIF(#REF!,$F159)+COUNTIF(#REF!,$F159)+COUNTIF(#REF!,$F159)+COUNTIF(#REF!,$F159)+COUNTIF('2.8.Felúj.'!$B$1:$B$938,$F159)+COUNTIF('2.5.Céltart'!$B$3:$B$985,$F159)</f>
        <v>#REF!</v>
      </c>
      <c r="B159" s="196">
        <v>157</v>
      </c>
      <c r="E159" s="207"/>
      <c r="F159" s="80"/>
      <c r="G159" s="216"/>
      <c r="H159" s="216"/>
    </row>
    <row r="160" spans="1:8" ht="15">
      <c r="A160" s="93" t="e">
        <f>COUNTIF(#REF!,$F160)+COUNTIF(#REF!,$F160)+COUNTIF(#REF!,$F160)+COUNTIF(#REF!,$F160)+COUNTIF(#REF!,$F160)+COUNTIF('2.8.Felúj.'!$B$1:$B$938,$F160)+COUNTIF('2.5.Céltart'!$B$3:$B$985,$F160)</f>
        <v>#REF!</v>
      </c>
      <c r="B160" s="196">
        <v>158</v>
      </c>
      <c r="E160" s="207"/>
      <c r="F160" s="251"/>
      <c r="G160" s="216"/>
      <c r="H160" s="216"/>
    </row>
    <row r="161" spans="1:8" ht="15">
      <c r="A161" s="93" t="e">
        <f>COUNTIF(#REF!,$F161)+COUNTIF(#REF!,$F161)+COUNTIF(#REF!,$F161)+COUNTIF(#REF!,$F161)+COUNTIF(#REF!,$F161)+COUNTIF('2.8.Felúj.'!$B$1:$B$938,$F161)+COUNTIF('2.5.Céltart'!$B$3:$B$985,$F161)</f>
        <v>#REF!</v>
      </c>
      <c r="B161" s="196">
        <v>159</v>
      </c>
      <c r="E161" s="207"/>
      <c r="F161" s="80"/>
      <c r="G161" s="216"/>
      <c r="H161" s="216"/>
    </row>
    <row r="162" spans="1:8" ht="15">
      <c r="A162" s="93" t="e">
        <f>COUNTIF(#REF!,$F162)+COUNTIF(#REF!,$F162)+COUNTIF(#REF!,$F162)+COUNTIF(#REF!,$F162)+COUNTIF(#REF!,$F162)+COUNTIF('2.8.Felúj.'!$B$1:$B$938,$F162)+COUNTIF('2.5.Céltart'!$B$3:$B$985,$F162)</f>
        <v>#REF!</v>
      </c>
      <c r="B162" s="196">
        <v>160</v>
      </c>
      <c r="E162" s="207"/>
      <c r="F162" s="250"/>
      <c r="G162" s="216"/>
      <c r="H162" s="216"/>
    </row>
    <row r="163" spans="1:8" ht="15">
      <c r="A163" s="93" t="e">
        <f>COUNTIF(#REF!,$F163)+COUNTIF(#REF!,$F163)+COUNTIF(#REF!,$F163)+COUNTIF(#REF!,$F163)+COUNTIF(#REF!,$F163)+COUNTIF('2.8.Felúj.'!$B$1:$B$938,$F163)+COUNTIF('2.5.Céltart'!$B$3:$B$985,$F163)</f>
        <v>#REF!</v>
      </c>
      <c r="B163" s="196">
        <v>161</v>
      </c>
      <c r="E163" s="207"/>
      <c r="F163" s="183"/>
      <c r="G163" s="216"/>
      <c r="H163" s="216"/>
    </row>
    <row r="164" spans="1:8" ht="15">
      <c r="A164" s="93" t="e">
        <f>COUNTIF(#REF!,$F164)+COUNTIF(#REF!,$F164)+COUNTIF(#REF!,$F164)+COUNTIF(#REF!,$F164)+COUNTIF(#REF!,$F164)+COUNTIF('2.8.Felúj.'!$B$1:$B$938,$F164)+COUNTIF('2.5.Céltart'!$B$3:$B$985,$F164)</f>
        <v>#REF!</v>
      </c>
      <c r="B164" s="196">
        <v>162</v>
      </c>
      <c r="E164" s="207"/>
      <c r="F164" s="80"/>
      <c r="G164" s="216"/>
      <c r="H164" s="216"/>
    </row>
    <row r="165" spans="1:8" ht="15">
      <c r="A165" s="93" t="e">
        <f>COUNTIF(#REF!,$F165)+COUNTIF(#REF!,$F165)+COUNTIF(#REF!,$F165)+COUNTIF(#REF!,$F165)+COUNTIF(#REF!,$F165)+COUNTIF('2.8.Felúj.'!$B$1:$B$938,$F165)+COUNTIF('2.5.Céltart'!$B$3:$B$985,$F165)</f>
        <v>#REF!</v>
      </c>
      <c r="B165" s="196">
        <v>163</v>
      </c>
      <c r="E165" s="207"/>
      <c r="F165" s="244"/>
      <c r="G165" s="216"/>
      <c r="H165" s="216"/>
    </row>
    <row r="166" spans="1:8" ht="15">
      <c r="A166" s="93" t="e">
        <f>COUNTIF(#REF!,$F166)+COUNTIF(#REF!,$F166)+COUNTIF(#REF!,$F166)+COUNTIF(#REF!,$F166)+COUNTIF(#REF!,$F166)+COUNTIF('2.8.Felúj.'!$B$1:$B$938,$F166)+COUNTIF('2.5.Céltart'!$B$3:$B$985,$F166)</f>
        <v>#REF!</v>
      </c>
      <c r="B166" s="196">
        <v>164</v>
      </c>
      <c r="E166" s="207"/>
      <c r="F166" s="81"/>
      <c r="G166" s="216"/>
      <c r="H166" s="216"/>
    </row>
    <row r="167" spans="1:8" ht="15">
      <c r="A167" s="93" t="e">
        <f>COUNTIF(#REF!,$F167)+COUNTIF(#REF!,$F167)+COUNTIF(#REF!,$F167)+COUNTIF(#REF!,$F167)+COUNTIF(#REF!,$F167)+COUNTIF('2.8.Felúj.'!$B$1:$B$938,$F167)+COUNTIF('2.5.Céltart'!$B$3:$B$985,$F167)</f>
        <v>#REF!</v>
      </c>
      <c r="B167" s="196">
        <v>165</v>
      </c>
      <c r="E167" s="207"/>
      <c r="F167" s="177"/>
      <c r="G167" s="216"/>
      <c r="H167" s="216"/>
    </row>
    <row r="168" spans="1:8" ht="15">
      <c r="A168" s="93" t="e">
        <f>COUNTIF(#REF!,$F168)+COUNTIF(#REF!,$F168)+COUNTIF(#REF!,$F168)+COUNTIF(#REF!,$F168)+COUNTIF(#REF!,$F168)+COUNTIF('2.8.Felúj.'!$B$1:$B$938,$F168)+COUNTIF('2.5.Céltart'!$B$3:$B$985,$F168)</f>
        <v>#REF!</v>
      </c>
      <c r="B168" s="196">
        <v>166</v>
      </c>
      <c r="E168" s="207"/>
      <c r="F168" s="177"/>
      <c r="G168" s="216"/>
      <c r="H168" s="216"/>
    </row>
    <row r="169" spans="1:8" ht="15">
      <c r="A169" s="93" t="e">
        <f>COUNTIF(#REF!,$F169)+COUNTIF(#REF!,$F169)+COUNTIF(#REF!,$F169)+COUNTIF(#REF!,$F169)+COUNTIF(#REF!,$F169)+COUNTIF('2.8.Felúj.'!$B$1:$B$938,$F169)+COUNTIF('2.5.Céltart'!$B$3:$B$985,$F169)</f>
        <v>#REF!</v>
      </c>
      <c r="B169" s="196">
        <v>167</v>
      </c>
      <c r="E169" s="207"/>
      <c r="F169" s="177"/>
      <c r="G169" s="216"/>
      <c r="H169" s="216"/>
    </row>
    <row r="170" spans="1:8" ht="15">
      <c r="A170" s="93" t="e">
        <f>COUNTIF(#REF!,$F170)+COUNTIF(#REF!,$F170)+COUNTIF(#REF!,$F170)+COUNTIF(#REF!,$F170)+COUNTIF(#REF!,$F170)+COUNTIF('2.8.Felúj.'!$B$1:$B$938,$F170)+COUNTIF('2.5.Céltart'!$B$3:$B$985,$F170)</f>
        <v>#REF!</v>
      </c>
      <c r="B170" s="196">
        <v>168</v>
      </c>
      <c r="E170" s="207"/>
      <c r="F170" s="246"/>
      <c r="G170" s="216"/>
      <c r="H170" s="216"/>
    </row>
    <row r="171" spans="1:8" ht="15">
      <c r="A171" s="93" t="e">
        <f>COUNTIF(#REF!,$F171)+COUNTIF(#REF!,$F171)+COUNTIF(#REF!,$F171)+COUNTIF(#REF!,$F171)+COUNTIF(#REF!,$F171)+COUNTIF('2.8.Felúj.'!$B$1:$B$938,$F171)+COUNTIF('2.5.Céltart'!$B$3:$B$985,$F171)</f>
        <v>#REF!</v>
      </c>
      <c r="B171" s="196">
        <v>169</v>
      </c>
      <c r="E171" s="207"/>
      <c r="F171" s="177"/>
      <c r="G171" s="216"/>
      <c r="H171" s="216"/>
    </row>
    <row r="172" spans="1:8" ht="15">
      <c r="A172" s="93" t="e">
        <f>COUNTIF(#REF!,$F172)+COUNTIF(#REF!,$F172)+COUNTIF(#REF!,$F172)+COUNTIF(#REF!,$F172)+COUNTIF(#REF!,$F172)+COUNTIF('2.8.Felúj.'!$B$1:$B$938,$F172)+COUNTIF('2.5.Céltart'!$B$3:$B$985,$F172)</f>
        <v>#REF!</v>
      </c>
      <c r="B172" s="196">
        <v>170</v>
      </c>
      <c r="E172" s="207"/>
      <c r="F172" s="177"/>
      <c r="G172" s="216"/>
      <c r="H172" s="216"/>
    </row>
    <row r="173" spans="1:8" ht="15">
      <c r="A173" s="93" t="e">
        <f>COUNTIF(#REF!,$F173)+COUNTIF(#REF!,$F173)+COUNTIF(#REF!,$F173)+COUNTIF(#REF!,$F173)+COUNTIF(#REF!,$F173)+COUNTIF('2.8.Felúj.'!$B$1:$B$938,$F173)+COUNTIF('2.5.Céltart'!$B$3:$B$985,$F173)</f>
        <v>#REF!</v>
      </c>
      <c r="B173" s="196">
        <v>171</v>
      </c>
      <c r="E173" s="207"/>
      <c r="F173" s="177"/>
      <c r="G173" s="216"/>
      <c r="H173" s="216"/>
    </row>
    <row r="174" spans="1:8" ht="15">
      <c r="A174" s="93" t="e">
        <f>COUNTIF(#REF!,$F174)+COUNTIF(#REF!,$F174)+COUNTIF(#REF!,$F174)+COUNTIF(#REF!,$F174)+COUNTIF(#REF!,$F174)+COUNTIF('2.8.Felúj.'!$B$1:$B$938,$F174)+COUNTIF('2.5.Céltart'!$B$3:$B$985,$F174)</f>
        <v>#REF!</v>
      </c>
      <c r="B174" s="196">
        <v>172</v>
      </c>
      <c r="E174" s="207"/>
      <c r="F174" s="177"/>
      <c r="G174" s="216"/>
      <c r="H174" s="216"/>
    </row>
    <row r="175" spans="1:8" ht="15">
      <c r="A175" s="93" t="e">
        <f>COUNTIF(#REF!,$F175)+COUNTIF(#REF!,$F175)+COUNTIF(#REF!,$F175)+COUNTIF(#REF!,$F175)+COUNTIF(#REF!,$F175)+COUNTIF('2.8.Felúj.'!$B$1:$B$938,$F175)+COUNTIF('2.5.Céltart'!$B$3:$B$985,$F175)</f>
        <v>#REF!</v>
      </c>
      <c r="B175" s="196">
        <v>173</v>
      </c>
      <c r="E175" s="207"/>
      <c r="F175" s="81"/>
      <c r="G175" s="216"/>
      <c r="H175" s="216"/>
    </row>
    <row r="176" spans="1:8" ht="15">
      <c r="A176" s="93" t="e">
        <f>COUNTIF(#REF!,$F176)+COUNTIF(#REF!,$F176)+COUNTIF(#REF!,$F176)+COUNTIF(#REF!,$F176)+COUNTIF(#REF!,$F176)+COUNTIF('2.8.Felúj.'!$B$1:$B$938,$F176)+COUNTIF('2.5.Céltart'!$B$3:$B$985,$F176)</f>
        <v>#REF!</v>
      </c>
      <c r="B176" s="196">
        <v>174</v>
      </c>
      <c r="E176" s="207"/>
      <c r="F176" s="177"/>
      <c r="G176" s="216"/>
      <c r="H176" s="216"/>
    </row>
    <row r="177" spans="1:8" ht="15">
      <c r="A177" s="93" t="e">
        <f>COUNTIF(#REF!,$F177)+COUNTIF(#REF!,$F177)+COUNTIF(#REF!,$F177)+COUNTIF(#REF!,$F177)+COUNTIF(#REF!,$F177)+COUNTIF('2.8.Felúj.'!$B$1:$B$938,$F177)+COUNTIF('2.5.Céltart'!$B$3:$B$985,$F177)</f>
        <v>#REF!</v>
      </c>
      <c r="B177" s="196">
        <v>175</v>
      </c>
      <c r="E177" s="207"/>
      <c r="F177" s="81"/>
      <c r="G177" s="216"/>
      <c r="H177" s="216"/>
    </row>
    <row r="178" spans="1:8" ht="15">
      <c r="A178" s="93" t="e">
        <f>COUNTIF(#REF!,$F178)+COUNTIF(#REF!,$F178)+COUNTIF(#REF!,$F178)+COUNTIF(#REF!,$F178)+COUNTIF(#REF!,$F178)+COUNTIF('2.8.Felúj.'!$B$1:$B$938,$F178)+COUNTIF('2.5.Céltart'!$B$3:$B$985,$F178)</f>
        <v>#REF!</v>
      </c>
      <c r="B178" s="196">
        <v>176</v>
      </c>
      <c r="E178" s="207"/>
      <c r="F178" s="177"/>
      <c r="G178" s="216"/>
      <c r="H178" s="216"/>
    </row>
    <row r="179" spans="1:8" ht="15">
      <c r="A179" s="93" t="e">
        <f>COUNTIF(#REF!,$F179)+COUNTIF(#REF!,$F179)+COUNTIF(#REF!,$F179)+COUNTIF(#REF!,$F179)+COUNTIF(#REF!,$F179)+COUNTIF('2.8.Felúj.'!$B$1:$B$938,$F179)+COUNTIF('2.5.Céltart'!$B$3:$B$985,$F179)</f>
        <v>#REF!</v>
      </c>
      <c r="B179" s="196">
        <v>177</v>
      </c>
      <c r="E179" s="207"/>
      <c r="F179" s="177"/>
      <c r="G179" s="216"/>
      <c r="H179" s="216"/>
    </row>
    <row r="180" spans="1:8" ht="15">
      <c r="A180" s="93" t="e">
        <f>COUNTIF(#REF!,$F180)+COUNTIF(#REF!,$F180)+COUNTIF(#REF!,$F180)+COUNTIF(#REF!,$F180)+COUNTIF(#REF!,$F180)+COUNTIF('2.8.Felúj.'!$B$1:$B$938,$F180)+COUNTIF('2.5.Céltart'!$B$3:$B$985,$F180)</f>
        <v>#REF!</v>
      </c>
      <c r="B180" s="196">
        <v>178</v>
      </c>
      <c r="E180" s="207"/>
      <c r="F180" s="177"/>
      <c r="G180" s="216"/>
      <c r="H180" s="216"/>
    </row>
    <row r="181" spans="1:8" ht="15">
      <c r="A181" s="93" t="e">
        <f>COUNTIF(#REF!,$F181)+COUNTIF(#REF!,$F181)+COUNTIF(#REF!,$F181)+COUNTIF(#REF!,$F181)+COUNTIF(#REF!,$F181)+COUNTIF('2.8.Felúj.'!$B$1:$B$938,$F181)+COUNTIF('2.5.Céltart'!$B$3:$B$985,$F181)</f>
        <v>#REF!</v>
      </c>
      <c r="B181" s="196">
        <v>179</v>
      </c>
      <c r="E181" s="207"/>
      <c r="F181" s="177"/>
      <c r="G181" s="216"/>
      <c r="H181" s="216"/>
    </row>
    <row r="182" spans="1:8" ht="15">
      <c r="A182" s="93" t="e">
        <f>COUNTIF(#REF!,$F182)+COUNTIF(#REF!,$F182)+COUNTIF(#REF!,$F182)+COUNTIF(#REF!,$F182)+COUNTIF(#REF!,$F182)+COUNTIF('2.8.Felúj.'!$B$1:$B$938,$F182)+COUNTIF('2.5.Céltart'!$B$3:$B$985,$F182)</f>
        <v>#REF!</v>
      </c>
      <c r="B182" s="196">
        <v>180</v>
      </c>
      <c r="E182" s="207"/>
      <c r="F182" s="177"/>
      <c r="G182" s="216"/>
      <c r="H182" s="216"/>
    </row>
    <row r="183" spans="1:8" ht="15">
      <c r="A183" s="93" t="e">
        <f>COUNTIF(#REF!,$F183)+COUNTIF(#REF!,$F183)+COUNTIF(#REF!,$F183)+COUNTIF(#REF!,$F183)+COUNTIF(#REF!,$F183)+COUNTIF('2.8.Felúj.'!$B$1:$B$938,$F183)+COUNTIF('2.5.Céltart'!$B$3:$B$985,$F183)</f>
        <v>#REF!</v>
      </c>
      <c r="B183" s="196">
        <v>181</v>
      </c>
      <c r="E183" s="207"/>
      <c r="F183" s="246"/>
      <c r="G183" s="216"/>
      <c r="H183" s="216"/>
    </row>
    <row r="184" spans="1:8" ht="15">
      <c r="A184" s="93" t="e">
        <f>COUNTIF(#REF!,$F184)+COUNTIF(#REF!,$F184)+COUNTIF(#REF!,$F184)+COUNTIF(#REF!,$F184)+COUNTIF(#REF!,$F184)+COUNTIF('2.8.Felúj.'!$B$1:$B$938,$F184)+COUNTIF('2.5.Céltart'!$B$3:$B$985,$F184)</f>
        <v>#REF!</v>
      </c>
      <c r="B184" s="196">
        <v>182</v>
      </c>
      <c r="E184" s="207"/>
      <c r="F184" s="177"/>
      <c r="G184" s="216"/>
      <c r="H184" s="216"/>
    </row>
    <row r="185" spans="1:8" ht="15">
      <c r="A185" s="93" t="e">
        <f>COUNTIF(#REF!,$F185)+COUNTIF(#REF!,$F185)+COUNTIF(#REF!,$F185)+COUNTIF(#REF!,$F185)+COUNTIF(#REF!,$F185)+COUNTIF('2.8.Felúj.'!$B$1:$B$938,$F185)+COUNTIF('2.5.Céltart'!$B$3:$B$985,$F185)</f>
        <v>#REF!</v>
      </c>
      <c r="B185" s="196">
        <v>183</v>
      </c>
      <c r="E185" s="207"/>
      <c r="F185" s="177"/>
      <c r="G185" s="216"/>
      <c r="H185" s="216"/>
    </row>
    <row r="186" spans="1:8" ht="15">
      <c r="A186" s="93" t="e">
        <f>COUNTIF(#REF!,$F186)+COUNTIF(#REF!,$F186)+COUNTIF(#REF!,$F186)+COUNTIF(#REF!,$F186)+COUNTIF(#REF!,$F186)+COUNTIF('2.8.Felúj.'!$B$1:$B$938,$F186)+COUNTIF('2.5.Céltart'!$B$3:$B$985,$F186)</f>
        <v>#REF!</v>
      </c>
      <c r="B186" s="196">
        <v>184</v>
      </c>
      <c r="E186" s="207"/>
      <c r="F186" s="244"/>
      <c r="G186" s="216"/>
      <c r="H186" s="216"/>
    </row>
    <row r="187" spans="1:8" ht="15">
      <c r="A187" s="93" t="e">
        <f>COUNTIF(#REF!,$F187)+COUNTIF(#REF!,$F187)+COUNTIF(#REF!,$F187)+COUNTIF(#REF!,$F187)+COUNTIF(#REF!,$F187)+COUNTIF('2.8.Felúj.'!$B$1:$B$938,$F187)+COUNTIF('2.5.Céltart'!$B$3:$B$985,$F187)</f>
        <v>#REF!</v>
      </c>
      <c r="B187" s="196">
        <v>185</v>
      </c>
      <c r="E187" s="207"/>
      <c r="F187" s="177"/>
      <c r="G187" s="216"/>
      <c r="H187" s="216"/>
    </row>
    <row r="188" spans="1:8" ht="15">
      <c r="A188" s="93" t="e">
        <f>COUNTIF(#REF!,$F188)+COUNTIF(#REF!,$F188)+COUNTIF(#REF!,$F188)+COUNTIF(#REF!,$F188)+COUNTIF(#REF!,$F188)+COUNTIF('2.8.Felúj.'!$B$1:$B$938,$F188)+COUNTIF('2.5.Céltart'!$B$3:$B$985,$F188)</f>
        <v>#REF!</v>
      </c>
      <c r="B188" s="196">
        <v>186</v>
      </c>
      <c r="E188" s="207"/>
      <c r="F188" s="246"/>
      <c r="G188" s="216"/>
      <c r="H188" s="216"/>
    </row>
    <row r="189" spans="1:8" ht="15">
      <c r="A189" s="93" t="e">
        <f>COUNTIF(#REF!,$F189)+COUNTIF(#REF!,$F189)+COUNTIF(#REF!,$F189)+COUNTIF(#REF!,$F189)+COUNTIF(#REF!,$F189)+COUNTIF('2.8.Felúj.'!$B$1:$B$938,$F189)+COUNTIF('2.5.Céltart'!$B$3:$B$985,$F189)</f>
        <v>#REF!</v>
      </c>
      <c r="B189" s="196">
        <v>187</v>
      </c>
      <c r="E189" s="207"/>
      <c r="F189" s="177"/>
      <c r="G189" s="216"/>
      <c r="H189" s="216"/>
    </row>
    <row r="190" spans="1:8" ht="15">
      <c r="A190" s="93" t="e">
        <f>COUNTIF(#REF!,$F190)+COUNTIF(#REF!,$F190)+COUNTIF(#REF!,$F190)+COUNTIF(#REF!,$F190)+COUNTIF(#REF!,$F190)+COUNTIF('2.8.Felúj.'!$B$1:$B$938,$F190)+COUNTIF('2.5.Céltart'!$B$3:$B$985,$F190)</f>
        <v>#REF!</v>
      </c>
      <c r="B190" s="196">
        <v>188</v>
      </c>
      <c r="E190" s="207"/>
      <c r="F190" s="177"/>
      <c r="G190" s="216"/>
      <c r="H190" s="216"/>
    </row>
    <row r="191" spans="1:8" ht="15">
      <c r="A191" s="93" t="e">
        <f>COUNTIF(#REF!,$F191)+COUNTIF(#REF!,$F191)+COUNTIF(#REF!,$F191)+COUNTIF(#REF!,$F191)+COUNTIF(#REF!,$F191)+COUNTIF('2.8.Felúj.'!$B$1:$B$938,$F191)+COUNTIF('2.5.Céltart'!$B$3:$B$985,$F191)</f>
        <v>#REF!</v>
      </c>
      <c r="B191" s="196">
        <v>189</v>
      </c>
      <c r="E191" s="207"/>
      <c r="F191" s="177"/>
      <c r="G191" s="216"/>
      <c r="H191" s="216"/>
    </row>
    <row r="192" spans="1:8" ht="15">
      <c r="A192" s="93" t="e">
        <f>COUNTIF(#REF!,$F192)+COUNTIF(#REF!,$F192)+COUNTIF(#REF!,$F192)+COUNTIF(#REF!,$F192)+COUNTIF(#REF!,$F192)+COUNTIF('2.8.Felúj.'!$B$1:$B$938,$F192)+COUNTIF('2.5.Céltart'!$B$3:$B$985,$F192)</f>
        <v>#REF!</v>
      </c>
      <c r="B192" s="196">
        <v>190</v>
      </c>
      <c r="E192" s="207"/>
      <c r="F192" s="177"/>
      <c r="G192" s="216"/>
      <c r="H192" s="216"/>
    </row>
    <row r="193" spans="1:8" ht="15">
      <c r="A193" s="93" t="e">
        <f>COUNTIF(#REF!,$F193)+COUNTIF(#REF!,$F193)+COUNTIF(#REF!,$F193)+COUNTIF(#REF!,$F193)+COUNTIF(#REF!,$F193)+COUNTIF('2.8.Felúj.'!$B$1:$B$938,$F193)+COUNTIF('2.5.Céltart'!$B$3:$B$985,$F193)</f>
        <v>#REF!</v>
      </c>
      <c r="B193" s="196">
        <v>191</v>
      </c>
      <c r="E193" s="207"/>
      <c r="F193" s="177"/>
      <c r="G193" s="216"/>
      <c r="H193" s="216"/>
    </row>
    <row r="194" spans="1:8" ht="15">
      <c r="A194" s="93" t="e">
        <f>COUNTIF(#REF!,$F194)+COUNTIF(#REF!,$F194)+COUNTIF(#REF!,$F194)+COUNTIF(#REF!,$F194)+COUNTIF(#REF!,$F194)+COUNTIF('2.8.Felúj.'!$B$1:$B$938,$F194)+COUNTIF('2.5.Céltart'!$B$3:$B$985,$F194)</f>
        <v>#REF!</v>
      </c>
      <c r="B194" s="196">
        <v>192</v>
      </c>
      <c r="E194" s="207"/>
      <c r="F194" s="177"/>
      <c r="G194" s="216"/>
      <c r="H194" s="216"/>
    </row>
    <row r="195" spans="1:8" ht="15">
      <c r="A195" s="93" t="e">
        <f>COUNTIF(#REF!,$F195)+COUNTIF(#REF!,$F195)+COUNTIF(#REF!,$F195)+COUNTIF(#REF!,$F195)+COUNTIF(#REF!,$F195)+COUNTIF('2.8.Felúj.'!$B$1:$B$938,$F195)+COUNTIF('2.5.Céltart'!$B$3:$B$985,$F195)</f>
        <v>#REF!</v>
      </c>
      <c r="B195" s="196">
        <v>193</v>
      </c>
      <c r="E195" s="207"/>
      <c r="F195" s="246"/>
      <c r="G195" s="216"/>
      <c r="H195" s="216"/>
    </row>
    <row r="196" spans="1:8" ht="15">
      <c r="A196" s="93" t="e">
        <f>COUNTIF(#REF!,$F196)+COUNTIF(#REF!,$F196)+COUNTIF(#REF!,$F196)+COUNTIF(#REF!,$F196)+COUNTIF(#REF!,$F196)+COUNTIF('2.8.Felúj.'!$B$1:$B$938,$F196)+COUNTIF('2.5.Céltart'!$B$3:$B$985,$F196)</f>
        <v>#REF!</v>
      </c>
      <c r="B196" s="196">
        <v>194</v>
      </c>
      <c r="E196" s="207"/>
      <c r="F196" s="215"/>
      <c r="G196" s="216"/>
      <c r="H196" s="216"/>
    </row>
    <row r="197" spans="1:8" ht="15">
      <c r="A197" s="93" t="e">
        <f>COUNTIF(#REF!,$F197)+COUNTIF(#REF!,$F197)+COUNTIF(#REF!,$F197)+COUNTIF(#REF!,$F197)+COUNTIF(#REF!,$F197)+COUNTIF('2.8.Felúj.'!$B$1:$B$938,$F197)+COUNTIF('2.5.Céltart'!$B$3:$B$985,$F197)</f>
        <v>#REF!</v>
      </c>
      <c r="B197" s="196">
        <v>195</v>
      </c>
      <c r="E197" s="207"/>
      <c r="F197" s="81"/>
      <c r="G197" s="216"/>
      <c r="H197" s="216"/>
    </row>
    <row r="198" spans="1:8" ht="15">
      <c r="A198" s="93" t="e">
        <f>COUNTIF(#REF!,$F198)+COUNTIF(#REF!,$F198)+COUNTIF(#REF!,$F198)+COUNTIF(#REF!,$F198)+COUNTIF(#REF!,$F198)+COUNTIF('2.8.Felúj.'!$B$1:$B$938,$F198)+COUNTIF('2.5.Céltart'!$B$3:$B$985,$F198)</f>
        <v>#REF!</v>
      </c>
      <c r="B198" s="196">
        <v>196</v>
      </c>
      <c r="E198" s="207"/>
      <c r="F198" s="81"/>
      <c r="G198" s="216"/>
      <c r="H198" s="216"/>
    </row>
    <row r="199" spans="1:8" ht="15">
      <c r="A199" s="93" t="e">
        <f>COUNTIF(#REF!,$F199)+COUNTIF(#REF!,$F199)+COUNTIF(#REF!,$F199)+COUNTIF(#REF!,$F199)+COUNTIF(#REF!,$F199)+COUNTIF('2.8.Felúj.'!$B$1:$B$938,$F199)+COUNTIF('2.5.Céltart'!$B$3:$B$985,$F199)</f>
        <v>#REF!</v>
      </c>
      <c r="B199" s="196">
        <v>197</v>
      </c>
      <c r="E199" s="207"/>
      <c r="F199" s="80"/>
      <c r="G199" s="216"/>
      <c r="H199" s="216"/>
    </row>
    <row r="200" spans="1:8" ht="15">
      <c r="A200" s="93" t="e">
        <f>COUNTIF(#REF!,$F200)+COUNTIF(#REF!,$F200)+COUNTIF(#REF!,$F200)+COUNTIF(#REF!,$F200)+COUNTIF(#REF!,$F200)+COUNTIF('2.8.Felúj.'!$B$1:$B$938,$F200)+COUNTIF('2.5.Céltart'!$B$3:$B$985,$F200)</f>
        <v>#REF!</v>
      </c>
      <c r="B200" s="196">
        <v>198</v>
      </c>
      <c r="E200" s="207"/>
      <c r="F200" s="80"/>
      <c r="G200" s="216"/>
      <c r="H200" s="216"/>
    </row>
    <row r="201" spans="1:8" ht="15">
      <c r="A201" s="93" t="e">
        <f>COUNTIF(#REF!,$F201)+COUNTIF(#REF!,$F201)+COUNTIF(#REF!,$F201)+COUNTIF(#REF!,$F201)+COUNTIF(#REF!,$F201)+COUNTIF('2.8.Felúj.'!$B$1:$B$938,$F201)+COUNTIF('2.5.Céltart'!$B$3:$B$985,$F201)</f>
        <v>#REF!</v>
      </c>
      <c r="B201" s="196">
        <v>199</v>
      </c>
      <c r="E201" s="207"/>
      <c r="F201" s="203"/>
      <c r="G201" s="216"/>
      <c r="H201" s="216"/>
    </row>
    <row r="202" spans="1:8" ht="15">
      <c r="A202" s="93" t="e">
        <f>COUNTIF(#REF!,$F202)+COUNTIF(#REF!,$F202)+COUNTIF(#REF!,$F202)+COUNTIF(#REF!,$F202)+COUNTIF(#REF!,$F202)+COUNTIF('2.8.Felúj.'!$B$1:$B$938,$F202)+COUNTIF('2.5.Céltart'!$B$3:$B$985,$F202)</f>
        <v>#REF!</v>
      </c>
      <c r="B202" s="196">
        <v>200</v>
      </c>
      <c r="E202" s="207"/>
      <c r="F202" s="203"/>
      <c r="G202" s="216"/>
      <c r="H202" s="216"/>
    </row>
    <row r="203" spans="5:8" ht="15">
      <c r="E203" s="207"/>
      <c r="F203" s="80"/>
      <c r="G203" s="216"/>
      <c r="H203" s="216"/>
    </row>
    <row r="204" spans="5:8" ht="15">
      <c r="E204" s="207"/>
      <c r="F204" s="80"/>
      <c r="G204" s="216"/>
      <c r="H204" s="216"/>
    </row>
    <row r="205" spans="5:8" ht="15">
      <c r="E205" s="207"/>
      <c r="F205" s="80"/>
      <c r="G205" s="216"/>
      <c r="H205" s="216"/>
    </row>
    <row r="206" spans="5:8" ht="15">
      <c r="E206" s="207"/>
      <c r="F206" s="177"/>
      <c r="G206" s="216"/>
      <c r="H206" s="216"/>
    </row>
    <row r="207" spans="5:8" ht="15">
      <c r="E207" s="207"/>
      <c r="F207" s="177"/>
      <c r="G207" s="216"/>
      <c r="H207" s="216"/>
    </row>
    <row r="208" spans="5:8" ht="15">
      <c r="E208" s="207"/>
      <c r="F208" s="177"/>
      <c r="G208" s="216"/>
      <c r="H208" s="216"/>
    </row>
    <row r="209" spans="5:8" ht="15">
      <c r="E209" s="207"/>
      <c r="F209" s="177"/>
      <c r="G209" s="216"/>
      <c r="H209" s="216"/>
    </row>
    <row r="210" spans="5:8" ht="15">
      <c r="E210" s="207"/>
      <c r="F210" s="177"/>
      <c r="G210" s="216"/>
      <c r="H210" s="216"/>
    </row>
    <row r="211" spans="5:8" ht="15">
      <c r="E211" s="207"/>
      <c r="F211" s="246"/>
      <c r="G211" s="216"/>
      <c r="H211" s="216"/>
    </row>
    <row r="212" spans="5:8" ht="15">
      <c r="E212" s="207"/>
      <c r="F212" s="215"/>
      <c r="G212" s="216"/>
      <c r="H212" s="216"/>
    </row>
    <row r="213" spans="5:8" ht="15">
      <c r="E213" s="207"/>
      <c r="F213" s="81"/>
      <c r="G213" s="216"/>
      <c r="H213" s="216"/>
    </row>
    <row r="214" spans="5:8" ht="15">
      <c r="E214" s="207"/>
      <c r="F214" s="183"/>
      <c r="G214" s="216"/>
      <c r="H214" s="216"/>
    </row>
    <row r="215" spans="5:8" ht="15">
      <c r="E215" s="207"/>
      <c r="F215" s="183"/>
      <c r="G215" s="216"/>
      <c r="H215" s="216"/>
    </row>
    <row r="216" spans="5:8" ht="15">
      <c r="E216" s="207"/>
      <c r="F216" s="183"/>
      <c r="G216" s="216"/>
      <c r="H216" s="216"/>
    </row>
    <row r="217" spans="5:8" ht="15">
      <c r="E217" s="207"/>
      <c r="F217" s="183"/>
      <c r="G217" s="216"/>
      <c r="H217" s="216"/>
    </row>
    <row r="218" spans="5:8" ht="15">
      <c r="E218" s="207"/>
      <c r="F218" s="183"/>
      <c r="G218" s="216"/>
      <c r="H218" s="216"/>
    </row>
    <row r="219" spans="5:8" ht="15">
      <c r="E219" s="207"/>
      <c r="F219" s="183"/>
      <c r="G219" s="216"/>
      <c r="H219" s="216"/>
    </row>
    <row r="220" spans="5:8" ht="15">
      <c r="E220" s="207"/>
      <c r="F220" s="183"/>
      <c r="G220" s="216"/>
      <c r="H220" s="216"/>
    </row>
    <row r="221" spans="5:8" ht="15">
      <c r="E221" s="207"/>
      <c r="F221" s="183"/>
      <c r="G221" s="216"/>
      <c r="H221" s="216"/>
    </row>
    <row r="222" spans="5:8" ht="15">
      <c r="E222" s="207"/>
      <c r="F222" s="183"/>
      <c r="G222" s="216"/>
      <c r="H222" s="216"/>
    </row>
    <row r="223" spans="5:8" ht="15">
      <c r="E223" s="207"/>
      <c r="F223" s="183"/>
      <c r="G223" s="216"/>
      <c r="H223" s="216"/>
    </row>
    <row r="224" spans="5:8" ht="15">
      <c r="E224" s="207"/>
      <c r="F224" s="183"/>
      <c r="G224" s="216"/>
      <c r="H224" s="216"/>
    </row>
    <row r="225" spans="5:8" ht="15">
      <c r="E225" s="207"/>
      <c r="F225" s="183"/>
      <c r="G225" s="216"/>
      <c r="H225" s="216"/>
    </row>
    <row r="226" spans="5:8" ht="15">
      <c r="E226" s="207"/>
      <c r="F226" s="183"/>
      <c r="G226" s="216"/>
      <c r="H226" s="216"/>
    </row>
    <row r="227" spans="5:8" ht="15">
      <c r="E227" s="207"/>
      <c r="F227" s="183"/>
      <c r="G227" s="216"/>
      <c r="H227" s="216"/>
    </row>
    <row r="228" spans="5:8" ht="15">
      <c r="E228" s="207"/>
      <c r="F228" s="183"/>
      <c r="G228" s="216"/>
      <c r="H228" s="216"/>
    </row>
    <row r="229" spans="5:8" ht="15">
      <c r="E229" s="207"/>
      <c r="F229" s="215"/>
      <c r="G229" s="216"/>
      <c r="H229" s="216"/>
    </row>
    <row r="230" spans="5:8" ht="15">
      <c r="E230" s="207"/>
      <c r="F230" s="81"/>
      <c r="G230" s="216"/>
      <c r="H230" s="216"/>
    </row>
    <row r="231" spans="5:8" ht="15">
      <c r="E231" s="207"/>
      <c r="F231" s="183"/>
      <c r="G231" s="216"/>
      <c r="H231" s="216"/>
    </row>
    <row r="232" spans="5:8" ht="15">
      <c r="E232" s="207"/>
      <c r="F232" s="183"/>
      <c r="G232" s="216"/>
      <c r="H232" s="216"/>
    </row>
    <row r="233" spans="5:8" ht="15">
      <c r="E233" s="207"/>
      <c r="F233" s="183"/>
      <c r="G233" s="216"/>
      <c r="H233" s="216"/>
    </row>
    <row r="234" spans="5:8" ht="15">
      <c r="E234" s="207"/>
      <c r="F234" s="81"/>
      <c r="G234" s="216"/>
      <c r="H234" s="216"/>
    </row>
    <row r="235" spans="5:8" ht="15">
      <c r="E235" s="207"/>
      <c r="F235" s="215"/>
      <c r="G235" s="216"/>
      <c r="H235" s="216"/>
    </row>
    <row r="236" spans="5:8" ht="15">
      <c r="E236" s="207"/>
      <c r="F236" s="81"/>
      <c r="G236" s="216"/>
      <c r="H236" s="216"/>
    </row>
    <row r="237" spans="5:8" ht="15">
      <c r="E237" s="207"/>
      <c r="F237" s="183"/>
      <c r="G237" s="216"/>
      <c r="H237" s="216"/>
    </row>
    <row r="238" spans="5:8" ht="15">
      <c r="E238" s="207"/>
      <c r="F238" s="183"/>
      <c r="G238" s="216"/>
      <c r="H238" s="216"/>
    </row>
    <row r="239" spans="5:8" ht="15">
      <c r="E239" s="207"/>
      <c r="F239" s="183"/>
      <c r="G239" s="216"/>
      <c r="H239" s="216"/>
    </row>
    <row r="240" spans="5:8" ht="15">
      <c r="E240" s="207"/>
      <c r="F240" s="183"/>
      <c r="G240" s="216"/>
      <c r="H240" s="216"/>
    </row>
    <row r="241" spans="5:8" ht="15">
      <c r="E241" s="207"/>
      <c r="F241" s="244"/>
      <c r="G241" s="216"/>
      <c r="H241" s="216"/>
    </row>
    <row r="242" spans="5:8" ht="15">
      <c r="E242" s="207"/>
      <c r="F242" s="246"/>
      <c r="G242" s="216"/>
      <c r="H242" s="216"/>
    </row>
    <row r="243" spans="5:8" ht="15">
      <c r="E243" s="207"/>
      <c r="F243" s="177"/>
      <c r="G243" s="216"/>
      <c r="H243" s="216"/>
    </row>
    <row r="244" spans="5:8" ht="15">
      <c r="E244" s="207"/>
      <c r="F244" s="177"/>
      <c r="G244" s="216"/>
      <c r="H244" s="216"/>
    </row>
    <row r="245" spans="5:8" ht="12.75" customHeight="1">
      <c r="E245" s="207"/>
      <c r="F245" s="177"/>
      <c r="G245" s="216"/>
      <c r="H245" s="216"/>
    </row>
    <row r="246" spans="5:8" ht="15">
      <c r="E246" s="207"/>
      <c r="G246" s="216"/>
      <c r="H246" s="216"/>
    </row>
    <row r="247" spans="5:8" ht="15">
      <c r="E247" s="207"/>
      <c r="G247" s="216"/>
      <c r="H247" s="216"/>
    </row>
    <row r="248" spans="5:8" ht="15">
      <c r="E248" s="207"/>
      <c r="F248" s="80"/>
      <c r="G248" s="216"/>
      <c r="H248" s="216"/>
    </row>
    <row r="249" spans="5:8" ht="15">
      <c r="E249" s="207"/>
      <c r="F249" s="245"/>
      <c r="G249" s="216"/>
      <c r="H249" s="216"/>
    </row>
    <row r="250" spans="5:8" ht="15">
      <c r="E250" s="207"/>
      <c r="F250" s="108"/>
      <c r="G250" s="216"/>
      <c r="H250" s="216"/>
    </row>
    <row r="251" spans="5:8" ht="15">
      <c r="E251" s="207"/>
      <c r="F251" s="80"/>
      <c r="G251" s="216"/>
      <c r="H251" s="216"/>
    </row>
    <row r="252" spans="5:8" ht="15">
      <c r="E252" s="207"/>
      <c r="F252" s="199"/>
      <c r="G252" s="216"/>
      <c r="H252" s="216"/>
    </row>
    <row r="253" spans="5:8" ht="15">
      <c r="E253" s="207"/>
      <c r="F253" s="199"/>
      <c r="G253" s="216"/>
      <c r="H253" s="216"/>
    </row>
    <row r="254" spans="5:8" ht="15">
      <c r="E254" s="207"/>
      <c r="F254" s="177"/>
      <c r="G254" s="216"/>
      <c r="H254" s="216"/>
    </row>
    <row r="255" spans="5:8" ht="15">
      <c r="E255" s="207"/>
      <c r="F255" s="177"/>
      <c r="G255" s="216"/>
      <c r="H255" s="216"/>
    </row>
    <row r="256" spans="5:9" ht="15">
      <c r="E256" s="207"/>
      <c r="F256" s="80"/>
      <c r="G256" s="216"/>
      <c r="H256" s="216"/>
      <c r="I256" s="216"/>
    </row>
    <row r="257" spans="5:9" ht="15">
      <c r="E257" s="207"/>
      <c r="F257" s="199"/>
      <c r="G257" s="216"/>
      <c r="H257" s="216"/>
      <c r="I257" s="216"/>
    </row>
    <row r="258" spans="5:9" ht="15">
      <c r="E258" s="207"/>
      <c r="F258" s="199"/>
      <c r="G258" s="216"/>
      <c r="H258" s="216"/>
      <c r="I258" s="216"/>
    </row>
    <row r="259" spans="5:9" ht="15">
      <c r="E259" s="207"/>
      <c r="F259" s="244"/>
      <c r="G259" s="216"/>
      <c r="H259" s="216"/>
      <c r="I259" s="216"/>
    </row>
    <row r="260" spans="5:9" ht="15">
      <c r="E260" s="207"/>
      <c r="F260" s="198"/>
      <c r="G260" s="216"/>
      <c r="H260" s="216"/>
      <c r="I260" s="216"/>
    </row>
    <row r="261" spans="5:10" ht="15">
      <c r="E261" s="207"/>
      <c r="F261" s="198"/>
      <c r="G261" s="237"/>
      <c r="H261" s="213"/>
      <c r="I261" s="214"/>
      <c r="J261" s="211"/>
    </row>
    <row r="262" spans="5:10" ht="15">
      <c r="E262" s="207"/>
      <c r="F262" s="198"/>
      <c r="G262" s="213"/>
      <c r="H262" s="213"/>
      <c r="I262" s="214"/>
      <c r="J262" s="211"/>
    </row>
    <row r="263" spans="5:10" ht="15">
      <c r="E263" s="207"/>
      <c r="F263" s="198"/>
      <c r="G263" s="237"/>
      <c r="H263" s="213"/>
      <c r="I263" s="214"/>
      <c r="J263" s="211"/>
    </row>
    <row r="264" spans="5:8" ht="15">
      <c r="E264" s="207"/>
      <c r="F264" s="198"/>
      <c r="G264" s="216"/>
      <c r="H264" s="216"/>
    </row>
    <row r="265" spans="5:8" ht="15">
      <c r="E265" s="207"/>
      <c r="F265" s="245"/>
      <c r="G265" s="216"/>
      <c r="H265" s="216"/>
    </row>
    <row r="266" spans="5:8" ht="15">
      <c r="E266" s="207"/>
      <c r="F266" s="108"/>
      <c r="G266" s="216"/>
      <c r="H266" s="216"/>
    </row>
    <row r="267" spans="5:8" ht="15">
      <c r="E267" s="207"/>
      <c r="F267" s="108"/>
      <c r="G267" s="216"/>
      <c r="H267" s="216"/>
    </row>
    <row r="268" spans="5:8" ht="15">
      <c r="E268" s="207"/>
      <c r="F268" s="244"/>
      <c r="G268" s="216"/>
      <c r="H268" s="216"/>
    </row>
    <row r="269" spans="5:8" ht="15">
      <c r="E269" s="207"/>
      <c r="F269" s="244"/>
      <c r="G269" s="216"/>
      <c r="H269" s="216"/>
    </row>
    <row r="270" spans="5:8" ht="15">
      <c r="E270" s="207"/>
      <c r="F270" s="198"/>
      <c r="G270" s="216"/>
      <c r="H270" s="216"/>
    </row>
    <row r="271" spans="5:8" ht="15">
      <c r="E271" s="207"/>
      <c r="F271" s="199"/>
      <c r="G271" s="216"/>
      <c r="H271" s="216"/>
    </row>
    <row r="272" spans="5:8" ht="15">
      <c r="E272" s="207"/>
      <c r="F272" s="199"/>
      <c r="G272" s="216"/>
      <c r="H272" s="216"/>
    </row>
    <row r="273" spans="5:8" ht="15">
      <c r="E273" s="207"/>
      <c r="F273" s="198"/>
      <c r="G273" s="216"/>
      <c r="H273" s="216"/>
    </row>
    <row r="274" spans="5:8" ht="15">
      <c r="E274" s="207"/>
      <c r="F274" s="199"/>
      <c r="G274" s="216"/>
      <c r="H274" s="216"/>
    </row>
    <row r="275" spans="5:8" ht="15">
      <c r="E275" s="207"/>
      <c r="F275" s="199"/>
      <c r="G275" s="216"/>
      <c r="H275" s="216"/>
    </row>
    <row r="276" spans="5:8" ht="15">
      <c r="E276" s="207"/>
      <c r="F276" s="198"/>
      <c r="G276" s="216"/>
      <c r="H276" s="216"/>
    </row>
    <row r="277" spans="5:8" ht="15">
      <c r="E277" s="207"/>
      <c r="F277" s="198"/>
      <c r="G277" s="216"/>
      <c r="H277" s="216"/>
    </row>
    <row r="278" spans="5:8" ht="15">
      <c r="E278" s="207"/>
      <c r="F278" s="198"/>
      <c r="G278" s="216"/>
      <c r="H278" s="216"/>
    </row>
    <row r="279" spans="5:8" ht="15">
      <c r="E279" s="207"/>
      <c r="F279" s="198"/>
      <c r="G279" s="216"/>
      <c r="H279" s="216"/>
    </row>
    <row r="280" spans="5:8" ht="15">
      <c r="E280" s="207"/>
      <c r="F280" s="177"/>
      <c r="G280" s="216"/>
      <c r="H280" s="216"/>
    </row>
    <row r="281" spans="5:8" ht="15">
      <c r="E281" s="207"/>
      <c r="F281" s="244"/>
      <c r="G281" s="216"/>
      <c r="H281" s="216"/>
    </row>
    <row r="282" spans="5:8" ht="15">
      <c r="E282" s="207"/>
      <c r="F282" s="198"/>
      <c r="G282" s="216"/>
      <c r="H282" s="216"/>
    </row>
    <row r="283" spans="5:8" ht="15">
      <c r="E283" s="207"/>
      <c r="F283" s="177"/>
      <c r="G283" s="216"/>
      <c r="H283" s="216"/>
    </row>
    <row r="284" spans="5:8" ht="15">
      <c r="E284" s="207"/>
      <c r="F284" s="80"/>
      <c r="G284" s="216"/>
      <c r="H284" s="216"/>
    </row>
    <row r="285" spans="5:8" ht="15">
      <c r="E285" s="207"/>
      <c r="F285" s="245"/>
      <c r="G285" s="216"/>
      <c r="H285" s="216"/>
    </row>
    <row r="286" spans="5:8" ht="15">
      <c r="E286" s="207"/>
      <c r="F286" s="108"/>
      <c r="G286" s="216"/>
      <c r="H286" s="216"/>
    </row>
    <row r="287" spans="5:8" ht="15">
      <c r="E287" s="207"/>
      <c r="F287" s="80"/>
      <c r="G287" s="216"/>
      <c r="H287" s="216"/>
    </row>
    <row r="288" spans="5:10" ht="15">
      <c r="E288" s="207"/>
      <c r="F288" s="81"/>
      <c r="G288" s="200"/>
      <c r="H288" s="200"/>
      <c r="I288" s="248"/>
      <c r="J288" s="248"/>
    </row>
    <row r="289" spans="5:8" ht="15">
      <c r="E289" s="207"/>
      <c r="F289" s="81"/>
      <c r="G289" s="216"/>
      <c r="H289" s="216"/>
    </row>
    <row r="290" spans="5:10" ht="15">
      <c r="E290" s="207"/>
      <c r="G290" s="210"/>
      <c r="H290" s="210"/>
      <c r="I290" s="201"/>
      <c r="J290" s="201"/>
    </row>
    <row r="291" spans="5:8" ht="15">
      <c r="E291" s="207"/>
      <c r="F291" s="81"/>
      <c r="G291" s="216"/>
      <c r="H291" s="216"/>
    </row>
    <row r="292" spans="5:10" ht="15">
      <c r="E292" s="207"/>
      <c r="F292" s="244"/>
      <c r="G292" s="210"/>
      <c r="H292" s="210"/>
      <c r="I292" s="201"/>
      <c r="J292" s="201"/>
    </row>
    <row r="293" spans="6:8" ht="15">
      <c r="F293" s="246"/>
      <c r="G293" s="216"/>
      <c r="H293" s="216"/>
    </row>
    <row r="294" spans="6:8" ht="12.75">
      <c r="F294" s="81"/>
      <c r="G294" s="216"/>
      <c r="H294" s="216"/>
    </row>
    <row r="295" spans="6:8" ht="12.75">
      <c r="F295" s="81"/>
      <c r="G295" s="216"/>
      <c r="H295" s="216"/>
    </row>
    <row r="296" spans="6:8" ht="15">
      <c r="F296" s="244"/>
      <c r="G296" s="216"/>
      <c r="H296" s="216"/>
    </row>
    <row r="297" spans="6:8" ht="12.75">
      <c r="F297" s="81"/>
      <c r="G297" s="216"/>
      <c r="H297" s="216"/>
    </row>
    <row r="298" spans="6:8" ht="14.25">
      <c r="F298" s="247"/>
      <c r="G298" s="216"/>
      <c r="H298" s="216"/>
    </row>
    <row r="299" spans="6:8" ht="15">
      <c r="F299" s="177"/>
      <c r="G299" s="216"/>
      <c r="H299" s="216"/>
    </row>
    <row r="300" spans="6:8" ht="15">
      <c r="F300" s="177"/>
      <c r="G300" s="216"/>
      <c r="H300" s="216"/>
    </row>
    <row r="301" spans="6:8" ht="12.75">
      <c r="F301" s="203"/>
      <c r="G301" s="216"/>
      <c r="H301" s="216"/>
    </row>
    <row r="302" spans="6:8" ht="12.75">
      <c r="F302" s="80"/>
      <c r="G302" s="216"/>
      <c r="H302" s="216"/>
    </row>
    <row r="303" spans="6:8" ht="12.75">
      <c r="F303" s="199"/>
      <c r="G303" s="216"/>
      <c r="H303" s="216"/>
    </row>
    <row r="304" spans="6:8" ht="14.25">
      <c r="F304" s="247"/>
      <c r="G304" s="216"/>
      <c r="H304" s="216"/>
    </row>
    <row r="305" spans="6:8" ht="15">
      <c r="F305" s="244"/>
      <c r="G305" s="216"/>
      <c r="H305" s="216"/>
    </row>
    <row r="306" spans="6:8" ht="12.75">
      <c r="F306" s="199"/>
      <c r="G306" s="216"/>
      <c r="H306" s="216"/>
    </row>
    <row r="307" spans="6:8" ht="12.75">
      <c r="F307" s="198"/>
      <c r="G307" s="216"/>
      <c r="H307" s="216"/>
    </row>
    <row r="308" spans="6:8" ht="12.75">
      <c r="F308" s="199"/>
      <c r="G308" s="216"/>
      <c r="H308" s="216"/>
    </row>
    <row r="309" spans="6:8" ht="12.75">
      <c r="F309" s="198"/>
      <c r="G309" s="216"/>
      <c r="H309" s="216"/>
    </row>
    <row r="310" spans="6:8" ht="12.75">
      <c r="F310" s="199"/>
      <c r="G310" s="216"/>
      <c r="H310" s="216"/>
    </row>
    <row r="311" spans="6:8" ht="12.75">
      <c r="F311" s="198"/>
      <c r="G311" s="216"/>
      <c r="H311" s="216"/>
    </row>
    <row r="312" spans="6:10" ht="15">
      <c r="F312" s="244"/>
      <c r="G312" s="210"/>
      <c r="H312" s="210"/>
      <c r="I312" s="201"/>
      <c r="J312" s="201"/>
    </row>
    <row r="313" spans="6:8" ht="15">
      <c r="F313" s="177"/>
      <c r="G313" s="210"/>
      <c r="H313" s="216"/>
    </row>
    <row r="314" spans="1:10" ht="15">
      <c r="A314" s="209"/>
      <c r="B314" s="208"/>
      <c r="D314" s="209"/>
      <c r="F314" s="245"/>
      <c r="G314" s="241"/>
      <c r="H314" s="210"/>
      <c r="I314" s="210"/>
      <c r="J314" s="201"/>
    </row>
    <row r="315" spans="1:10" ht="12.75">
      <c r="A315" s="209"/>
      <c r="B315" s="208"/>
      <c r="D315" s="209"/>
      <c r="F315" s="108"/>
      <c r="G315" s="210"/>
      <c r="H315" s="210"/>
      <c r="I315" s="188"/>
      <c r="J315" s="201"/>
    </row>
    <row r="316" spans="1:10" ht="15">
      <c r="A316" s="209"/>
      <c r="B316" s="208"/>
      <c r="D316" s="209"/>
      <c r="F316" s="253"/>
      <c r="G316" s="210"/>
      <c r="H316" s="210"/>
      <c r="I316" s="236"/>
      <c r="J316" s="201"/>
    </row>
    <row r="317" spans="1:10" ht="15">
      <c r="A317" s="209"/>
      <c r="B317" s="208"/>
      <c r="D317" s="209"/>
      <c r="F317" s="245"/>
      <c r="G317" s="210"/>
      <c r="H317" s="210"/>
      <c r="I317" s="210"/>
      <c r="J317" s="201"/>
    </row>
    <row r="318" spans="1:10" ht="12.75">
      <c r="A318" s="209"/>
      <c r="B318" s="208"/>
      <c r="D318" s="209"/>
      <c r="F318" s="108"/>
      <c r="G318" s="241"/>
      <c r="H318" s="210"/>
      <c r="I318" s="210"/>
      <c r="J318" s="201"/>
    </row>
    <row r="319" spans="1:10" ht="15">
      <c r="A319" s="209"/>
      <c r="B319" s="208"/>
      <c r="D319" s="209"/>
      <c r="F319" s="253"/>
      <c r="G319" s="210"/>
      <c r="H319" s="210"/>
      <c r="I319" s="188"/>
      <c r="J319" s="201"/>
    </row>
    <row r="320" spans="6:10" ht="12.75">
      <c r="F320" s="81"/>
      <c r="G320" s="210"/>
      <c r="H320" s="210"/>
      <c r="I320" s="188"/>
      <c r="J320" s="201"/>
    </row>
    <row r="321" spans="6:10" ht="15">
      <c r="F321" s="177"/>
      <c r="G321" s="210"/>
      <c r="H321" s="210"/>
      <c r="I321" s="188"/>
      <c r="J321" s="201"/>
    </row>
    <row r="322" spans="6:10" ht="15">
      <c r="F322" s="177"/>
      <c r="G322" s="210"/>
      <c r="H322" s="210"/>
      <c r="I322" s="188"/>
      <c r="J322" s="201"/>
    </row>
    <row r="323" spans="6:10" ht="15">
      <c r="F323" s="177"/>
      <c r="G323" s="210"/>
      <c r="H323" s="210"/>
      <c r="I323" s="188"/>
      <c r="J323" s="201"/>
    </row>
    <row r="324" spans="6:10" ht="15">
      <c r="F324" s="177"/>
      <c r="G324" s="241"/>
      <c r="H324" s="210"/>
      <c r="I324" s="188"/>
      <c r="J324" s="201"/>
    </row>
    <row r="325" spans="6:10" ht="15">
      <c r="F325" s="177"/>
      <c r="G325" s="210"/>
      <c r="H325" s="210"/>
      <c r="I325" s="188"/>
      <c r="J325" s="201"/>
    </row>
    <row r="326" spans="6:10" ht="15">
      <c r="F326" s="177"/>
      <c r="G326" s="241"/>
      <c r="H326" s="210"/>
      <c r="I326" s="188"/>
      <c r="J326" s="201"/>
    </row>
    <row r="327" spans="6:8" ht="12.75" customHeight="1">
      <c r="F327" s="246"/>
      <c r="G327" s="216"/>
      <c r="H327" s="216"/>
    </row>
    <row r="328" spans="1:8" ht="15">
      <c r="A328" s="209"/>
      <c r="B328" s="208"/>
      <c r="D328" s="209"/>
      <c r="F328" s="177"/>
      <c r="G328" s="216"/>
      <c r="H328" s="216"/>
    </row>
    <row r="329" spans="1:8" ht="15">
      <c r="A329" s="209"/>
      <c r="B329" s="208"/>
      <c r="D329" s="209"/>
      <c r="F329" s="177"/>
      <c r="G329" s="216"/>
      <c r="H329" s="216"/>
    </row>
    <row r="330" spans="1:10" ht="15">
      <c r="A330" s="209"/>
      <c r="B330" s="208"/>
      <c r="D330" s="209"/>
      <c r="F330" s="244"/>
      <c r="G330" s="210"/>
      <c r="H330" s="210"/>
      <c r="I330" s="201"/>
      <c r="J330" s="201"/>
    </row>
    <row r="331" spans="1:8" ht="15">
      <c r="A331" s="209"/>
      <c r="B331" s="208"/>
      <c r="D331" s="209"/>
      <c r="F331" s="177"/>
      <c r="G331" s="216"/>
      <c r="H331" s="216"/>
    </row>
    <row r="332" spans="1:8" ht="15">
      <c r="A332" s="209"/>
      <c r="B332" s="208"/>
      <c r="D332" s="209"/>
      <c r="F332" s="177"/>
      <c r="G332" s="216"/>
      <c r="H332" s="216"/>
    </row>
    <row r="333" spans="1:8" ht="15">
      <c r="A333" s="209"/>
      <c r="B333" s="208"/>
      <c r="D333" s="209"/>
      <c r="F333" s="177"/>
      <c r="G333" s="216"/>
      <c r="H333" s="216"/>
    </row>
    <row r="334" spans="1:8" ht="15">
      <c r="A334" s="209"/>
      <c r="B334" s="208"/>
      <c r="D334" s="209"/>
      <c r="F334" s="246"/>
      <c r="G334" s="216"/>
      <c r="H334" s="216"/>
    </row>
    <row r="335" spans="1:8" ht="15">
      <c r="A335" s="209"/>
      <c r="B335" s="208"/>
      <c r="D335" s="209"/>
      <c r="F335" s="177"/>
      <c r="G335" s="216"/>
      <c r="H335" s="216"/>
    </row>
    <row r="336" spans="1:8" ht="15">
      <c r="A336" s="209"/>
      <c r="B336" s="208"/>
      <c r="D336" s="209"/>
      <c r="F336" s="244"/>
      <c r="G336" s="216"/>
      <c r="H336" s="216"/>
    </row>
    <row r="337" spans="1:8" ht="15">
      <c r="A337" s="209"/>
      <c r="B337" s="208"/>
      <c r="D337" s="209"/>
      <c r="F337" s="177"/>
      <c r="G337" s="216"/>
      <c r="H337" s="216"/>
    </row>
    <row r="338" spans="1:8" ht="15">
      <c r="A338" s="209"/>
      <c r="B338" s="208"/>
      <c r="D338" s="209"/>
      <c r="F338" s="177"/>
      <c r="G338" s="216"/>
      <c r="H338" s="216"/>
    </row>
    <row r="339" spans="1:8" ht="15">
      <c r="A339" s="209"/>
      <c r="B339" s="208"/>
      <c r="D339" s="209"/>
      <c r="F339" s="177"/>
      <c r="G339" s="216"/>
      <c r="H339" s="216"/>
    </row>
    <row r="340" spans="1:8" ht="15">
      <c r="A340" s="209"/>
      <c r="B340" s="208"/>
      <c r="D340" s="209"/>
      <c r="F340" s="177"/>
      <c r="G340" s="216"/>
      <c r="H340" s="216"/>
    </row>
    <row r="341" spans="1:8" ht="15">
      <c r="A341" s="209"/>
      <c r="B341" s="208"/>
      <c r="D341" s="209"/>
      <c r="F341" s="244"/>
      <c r="G341" s="216"/>
      <c r="H341" s="216"/>
    </row>
    <row r="342" spans="1:8" ht="15">
      <c r="A342" s="209"/>
      <c r="B342" s="208"/>
      <c r="D342" s="209"/>
      <c r="F342" s="244"/>
      <c r="G342" s="216"/>
      <c r="H342" s="216"/>
    </row>
    <row r="343" spans="1:8" ht="15">
      <c r="A343" s="209"/>
      <c r="B343" s="208"/>
      <c r="D343" s="209"/>
      <c r="F343" s="244"/>
      <c r="G343" s="216"/>
      <c r="H343" s="216"/>
    </row>
    <row r="344" spans="1:12" ht="15">
      <c r="A344" s="209"/>
      <c r="B344" s="208"/>
      <c r="D344" s="209"/>
      <c r="F344" s="177"/>
      <c r="G344" s="213"/>
      <c r="H344" s="213"/>
      <c r="I344" s="212"/>
      <c r="L344" s="212"/>
    </row>
    <row r="345" spans="1:8" ht="15">
      <c r="A345" s="209"/>
      <c r="B345" s="208"/>
      <c r="D345" s="209"/>
      <c r="F345" s="177"/>
      <c r="G345" s="216"/>
      <c r="H345" s="216"/>
    </row>
    <row r="346" spans="1:12" ht="15">
      <c r="A346" s="209"/>
      <c r="B346" s="208"/>
      <c r="D346" s="209"/>
      <c r="F346" s="177"/>
      <c r="G346" s="213"/>
      <c r="H346" s="213"/>
      <c r="I346" s="214"/>
      <c r="L346" s="214"/>
    </row>
    <row r="347" spans="1:8" ht="15">
      <c r="A347" s="209"/>
      <c r="B347" s="208"/>
      <c r="D347" s="209"/>
      <c r="F347" s="177"/>
      <c r="G347" s="216"/>
      <c r="H347" s="216"/>
    </row>
    <row r="348" spans="1:12" ht="15">
      <c r="A348" s="209"/>
      <c r="B348" s="208"/>
      <c r="D348" s="209"/>
      <c r="F348" s="177"/>
      <c r="G348" s="213"/>
      <c r="H348" s="237"/>
      <c r="I348" s="214"/>
      <c r="L348" s="214"/>
    </row>
    <row r="349" spans="6:8" ht="12.75">
      <c r="F349" s="81"/>
      <c r="G349" s="216"/>
      <c r="H349" s="216"/>
    </row>
    <row r="350" spans="6:8" ht="15">
      <c r="F350" s="177"/>
      <c r="G350" s="216"/>
      <c r="H350" s="216"/>
    </row>
    <row r="351" spans="6:8" ht="15">
      <c r="F351" s="252"/>
      <c r="G351" s="216"/>
      <c r="H351" s="216"/>
    </row>
    <row r="352" spans="6:8" ht="15">
      <c r="F352" s="177"/>
      <c r="G352" s="216"/>
      <c r="H352" s="216"/>
    </row>
    <row r="353" spans="6:12" ht="15">
      <c r="F353" s="177"/>
      <c r="G353" s="213"/>
      <c r="H353" s="213"/>
      <c r="I353" s="214"/>
      <c r="L353" s="214"/>
    </row>
    <row r="354" spans="6:12" ht="15">
      <c r="F354" s="177"/>
      <c r="G354" s="237"/>
      <c r="H354" s="213"/>
      <c r="I354" s="214"/>
      <c r="L354" s="214"/>
    </row>
    <row r="355" spans="6:12" ht="15">
      <c r="F355" s="177"/>
      <c r="G355" s="241"/>
      <c r="H355" s="210"/>
      <c r="I355" s="188"/>
      <c r="L355" s="188"/>
    </row>
    <row r="356" spans="6:12" ht="15">
      <c r="F356" s="177"/>
      <c r="G356" s="210"/>
      <c r="H356" s="210"/>
      <c r="I356" s="188"/>
      <c r="L356" s="188"/>
    </row>
    <row r="357" spans="6:12" ht="15">
      <c r="F357" s="177"/>
      <c r="G357" s="241"/>
      <c r="H357" s="210"/>
      <c r="I357" s="188"/>
      <c r="L357" s="188"/>
    </row>
    <row r="358" spans="6:12" ht="15">
      <c r="F358" s="246"/>
      <c r="G358" s="241"/>
      <c r="H358" s="210"/>
      <c r="I358" s="188"/>
      <c r="L358" s="188"/>
    </row>
    <row r="359" spans="6:12" ht="12.75">
      <c r="F359" s="81"/>
      <c r="G359" s="210"/>
      <c r="H359" s="210"/>
      <c r="I359" s="188"/>
      <c r="L359" s="188"/>
    </row>
    <row r="360" spans="6:12" ht="15">
      <c r="F360" s="177"/>
      <c r="G360" s="241"/>
      <c r="H360" s="210"/>
      <c r="I360" s="188"/>
      <c r="L360" s="188"/>
    </row>
    <row r="361" spans="6:12" ht="15">
      <c r="F361" s="177"/>
      <c r="G361" s="241"/>
      <c r="H361" s="210"/>
      <c r="I361" s="188"/>
      <c r="L361" s="188"/>
    </row>
    <row r="362" spans="6:12" ht="15">
      <c r="F362" s="177"/>
      <c r="G362" s="210"/>
      <c r="H362" s="210"/>
      <c r="I362" s="188"/>
      <c r="L362" s="188"/>
    </row>
    <row r="363" spans="6:8" ht="12.75">
      <c r="F363" s="81"/>
      <c r="G363" s="216"/>
      <c r="H363" s="216"/>
    </row>
    <row r="364" spans="6:12" ht="15">
      <c r="F364" s="177"/>
      <c r="G364" s="241"/>
      <c r="H364" s="210"/>
      <c r="I364" s="188"/>
      <c r="L364" s="188"/>
    </row>
    <row r="365" spans="6:12" ht="12.75">
      <c r="F365" s="81"/>
      <c r="G365" s="213"/>
      <c r="H365" s="213"/>
      <c r="I365" s="214"/>
      <c r="L365" s="214"/>
    </row>
    <row r="366" spans="6:12" ht="15">
      <c r="F366" s="177"/>
      <c r="G366" s="210"/>
      <c r="H366" s="210"/>
      <c r="I366" s="188"/>
      <c r="L366" s="188"/>
    </row>
    <row r="367" spans="6:8" ht="15">
      <c r="F367" s="177"/>
      <c r="G367" s="216"/>
      <c r="H367" s="216"/>
    </row>
    <row r="368" spans="6:12" ht="15">
      <c r="F368" s="177"/>
      <c r="G368" s="242"/>
      <c r="H368" s="200"/>
      <c r="I368" s="90"/>
      <c r="L368" s="90"/>
    </row>
    <row r="369" spans="6:8" ht="15">
      <c r="F369" s="246"/>
      <c r="G369" s="216"/>
      <c r="H369" s="216"/>
    </row>
    <row r="370" spans="6:8" ht="12.75">
      <c r="F370" s="215"/>
      <c r="G370" s="216"/>
      <c r="H370" s="216"/>
    </row>
    <row r="371" spans="6:8" ht="12.75">
      <c r="F371" s="81"/>
      <c r="G371" s="216"/>
      <c r="H371" s="216"/>
    </row>
    <row r="372" spans="6:8" ht="15">
      <c r="F372" s="246"/>
      <c r="G372" s="216"/>
      <c r="H372" s="216"/>
    </row>
    <row r="373" spans="6:8" ht="15">
      <c r="F373" s="177"/>
      <c r="G373" s="216"/>
      <c r="H373" s="216"/>
    </row>
    <row r="374" spans="6:8" ht="15">
      <c r="F374" s="246"/>
      <c r="G374" s="216"/>
      <c r="H374" s="216"/>
    </row>
    <row r="375" spans="6:8" ht="15">
      <c r="F375" s="244"/>
      <c r="G375" s="216"/>
      <c r="H375" s="216"/>
    </row>
    <row r="376" spans="6:8" ht="15">
      <c r="F376" s="244"/>
      <c r="G376" s="216"/>
      <c r="H376" s="216"/>
    </row>
    <row r="377" spans="6:8" ht="15">
      <c r="F377" s="246"/>
      <c r="G377" s="216"/>
      <c r="H377" s="216"/>
    </row>
    <row r="378" spans="6:8" ht="15">
      <c r="F378" s="177"/>
      <c r="G378" s="216"/>
      <c r="H378" s="216"/>
    </row>
    <row r="379" spans="6:8" ht="15">
      <c r="F379" s="244"/>
      <c r="G379" s="216"/>
      <c r="H379" s="216"/>
    </row>
    <row r="380" spans="6:8" ht="15">
      <c r="F380" s="177"/>
      <c r="G380" s="216"/>
      <c r="H380" s="216"/>
    </row>
    <row r="381" spans="6:8" ht="15">
      <c r="F381" s="177"/>
      <c r="G381" s="216"/>
      <c r="H381" s="216"/>
    </row>
    <row r="382" spans="6:8" ht="15">
      <c r="F382" s="177"/>
      <c r="G382" s="216"/>
      <c r="H382" s="216"/>
    </row>
    <row r="383" spans="6:8" ht="15">
      <c r="F383" s="177"/>
      <c r="G383" s="216"/>
      <c r="H383" s="216"/>
    </row>
    <row r="384" spans="6:8" ht="15">
      <c r="F384" s="177"/>
      <c r="G384" s="216"/>
      <c r="H384" s="216"/>
    </row>
    <row r="385" spans="6:8" ht="15">
      <c r="F385" s="177"/>
      <c r="G385" s="216"/>
      <c r="H385" s="216"/>
    </row>
    <row r="386" spans="6:8" ht="15">
      <c r="F386" s="177"/>
      <c r="G386" s="216"/>
      <c r="H386" s="216"/>
    </row>
    <row r="387" spans="6:8" ht="15">
      <c r="F387" s="177"/>
      <c r="G387" s="216"/>
      <c r="H387" s="216"/>
    </row>
    <row r="388" spans="6:8" ht="15">
      <c r="F388" s="244"/>
      <c r="G388" s="216"/>
      <c r="H388" s="216"/>
    </row>
    <row r="389" spans="6:8" ht="15">
      <c r="F389" s="177"/>
      <c r="G389" s="216"/>
      <c r="H389" s="216"/>
    </row>
    <row r="390" spans="6:8" ht="15">
      <c r="F390" s="246"/>
      <c r="G390" s="216"/>
      <c r="H390" s="216"/>
    </row>
    <row r="391" spans="6:8" ht="12.75">
      <c r="F391" s="80"/>
      <c r="G391" s="216"/>
      <c r="H391" s="216"/>
    </row>
    <row r="392" spans="6:8" ht="12.75">
      <c r="F392" s="236"/>
      <c r="G392" s="216"/>
      <c r="H392" s="216"/>
    </row>
    <row r="393" spans="6:8" ht="12.75">
      <c r="F393" s="236"/>
      <c r="G393" s="216"/>
      <c r="H393" s="216"/>
    </row>
    <row r="394" spans="6:8" ht="12.75">
      <c r="F394" s="80"/>
      <c r="G394" s="216"/>
      <c r="H394" s="216"/>
    </row>
    <row r="395" spans="6:8" ht="12.75">
      <c r="F395" s="236"/>
      <c r="G395" s="216"/>
      <c r="H395" s="216"/>
    </row>
    <row r="396" spans="6:8" ht="12.75">
      <c r="F396" s="236"/>
      <c r="G396" s="216"/>
      <c r="H396" s="216"/>
    </row>
    <row r="397" spans="6:8" ht="12.75">
      <c r="F397" s="80"/>
      <c r="G397" s="216"/>
      <c r="H397" s="216"/>
    </row>
    <row r="398" spans="6:8" ht="12.75">
      <c r="F398" s="236"/>
      <c r="G398" s="216"/>
      <c r="H398" s="216"/>
    </row>
    <row r="399" spans="6:8" ht="12.75">
      <c r="F399" s="203"/>
      <c r="G399" s="216"/>
      <c r="H399" s="216"/>
    </row>
    <row r="400" spans="6:8" ht="12.75">
      <c r="F400" s="236"/>
      <c r="G400" s="216"/>
      <c r="H400" s="216"/>
    </row>
    <row r="401" spans="6:8" ht="12.75">
      <c r="F401" s="236"/>
      <c r="G401" s="216"/>
      <c r="H401" s="216"/>
    </row>
    <row r="402" spans="6:8" ht="12.75">
      <c r="F402" s="80"/>
      <c r="G402" s="216"/>
      <c r="H402" s="216"/>
    </row>
    <row r="403" spans="6:8" ht="12.75">
      <c r="F403" s="236"/>
      <c r="G403" s="216"/>
      <c r="H403" s="216"/>
    </row>
    <row r="404" spans="6:8" ht="12.75">
      <c r="F404" s="203"/>
      <c r="G404" s="216"/>
      <c r="H404" s="216"/>
    </row>
    <row r="405" spans="6:8" ht="12.75">
      <c r="F405" s="236"/>
      <c r="G405" s="216"/>
      <c r="H405" s="216"/>
    </row>
    <row r="406" spans="6:8" ht="12.75">
      <c r="F406" s="236"/>
      <c r="G406" s="216"/>
      <c r="H406" s="216"/>
    </row>
    <row r="407" spans="6:8" ht="12.75">
      <c r="F407" s="235"/>
      <c r="G407" s="216"/>
      <c r="H407" s="216"/>
    </row>
    <row r="408" spans="6:8" ht="12.75">
      <c r="F408" s="236"/>
      <c r="G408" s="216"/>
      <c r="H408" s="216"/>
    </row>
    <row r="409" spans="6:8" ht="15">
      <c r="F409" s="246"/>
      <c r="G409" s="216"/>
      <c r="H409" s="216"/>
    </row>
    <row r="410" spans="6:8" ht="15">
      <c r="F410" s="246"/>
      <c r="G410" s="216"/>
      <c r="H410" s="216"/>
    </row>
    <row r="411" spans="6:8" ht="15">
      <c r="F411" s="177"/>
      <c r="G411" s="216"/>
      <c r="H411" s="216"/>
    </row>
    <row r="412" spans="6:8" ht="15">
      <c r="F412" s="177"/>
      <c r="G412" s="216"/>
      <c r="H412" s="216"/>
    </row>
    <row r="413" spans="6:8" ht="15">
      <c r="F413" s="177"/>
      <c r="G413" s="216"/>
      <c r="H413" s="216"/>
    </row>
    <row r="414" spans="6:8" ht="15">
      <c r="F414" s="244"/>
      <c r="G414" s="216"/>
      <c r="H414" s="216"/>
    </row>
    <row r="415" spans="6:8" ht="15">
      <c r="F415" s="177"/>
      <c r="G415" s="216"/>
      <c r="H415" s="216"/>
    </row>
    <row r="416" spans="6:8" ht="15">
      <c r="F416" s="177"/>
      <c r="G416" s="216"/>
      <c r="H416" s="216"/>
    </row>
    <row r="417" spans="6:8" ht="15">
      <c r="F417" s="177"/>
      <c r="G417" s="216"/>
      <c r="H417" s="216"/>
    </row>
    <row r="418" spans="6:8" ht="15">
      <c r="F418" s="244"/>
      <c r="G418" s="216"/>
      <c r="H418" s="216"/>
    </row>
    <row r="419" spans="6:8" ht="15">
      <c r="F419" s="177"/>
      <c r="G419" s="216"/>
      <c r="H419" s="216"/>
    </row>
    <row r="420" spans="6:8" ht="15">
      <c r="F420" s="244"/>
      <c r="G420" s="216"/>
      <c r="H420" s="216"/>
    </row>
    <row r="421" spans="6:8" ht="15">
      <c r="F421" s="244"/>
      <c r="G421" s="216"/>
      <c r="H421" s="216"/>
    </row>
    <row r="422" spans="6:8" ht="15">
      <c r="F422" s="177"/>
      <c r="G422" s="216"/>
      <c r="H422" s="216"/>
    </row>
    <row r="423" spans="6:8" ht="15">
      <c r="F423" s="244"/>
      <c r="G423" s="216"/>
      <c r="H423" s="216"/>
    </row>
    <row r="424" spans="6:8" ht="15">
      <c r="F424" s="177"/>
      <c r="G424" s="216"/>
      <c r="H424" s="216"/>
    </row>
    <row r="425" spans="6:8" ht="15">
      <c r="F425" s="177"/>
      <c r="G425" s="216"/>
      <c r="H425" s="216"/>
    </row>
    <row r="426" spans="6:8" ht="15">
      <c r="F426" s="246"/>
      <c r="G426" s="216"/>
      <c r="H426" s="216"/>
    </row>
    <row r="427" spans="6:8" ht="15">
      <c r="F427" s="177"/>
      <c r="G427" s="216"/>
      <c r="H427" s="216"/>
    </row>
    <row r="428" spans="2:8" ht="15">
      <c r="B428" s="208"/>
      <c r="F428" s="244"/>
      <c r="G428" s="216"/>
      <c r="H428" s="216"/>
    </row>
    <row r="429" spans="2:9" ht="15">
      <c r="B429" s="208"/>
      <c r="F429" s="177"/>
      <c r="G429" s="216"/>
      <c r="H429" s="213"/>
      <c r="I429" s="216"/>
    </row>
    <row r="430" spans="2:12" ht="15">
      <c r="B430" s="208"/>
      <c r="F430" s="177"/>
      <c r="G430" s="213"/>
      <c r="H430" s="213"/>
      <c r="I430" s="211"/>
      <c r="L430" s="211"/>
    </row>
    <row r="431" spans="2:12" ht="15">
      <c r="B431" s="208"/>
      <c r="F431" s="246"/>
      <c r="G431" s="213"/>
      <c r="H431" s="213"/>
      <c r="I431" s="211"/>
      <c r="L431" s="211"/>
    </row>
    <row r="432" spans="2:12" ht="15">
      <c r="B432" s="208"/>
      <c r="F432" s="177"/>
      <c r="G432" s="213"/>
      <c r="H432" s="210"/>
      <c r="I432" s="211"/>
      <c r="L432" s="211"/>
    </row>
    <row r="433" spans="2:12" ht="15">
      <c r="B433" s="208"/>
      <c r="F433" s="244"/>
      <c r="G433" s="210"/>
      <c r="H433" s="218"/>
      <c r="I433" s="201"/>
      <c r="L433" s="201"/>
    </row>
    <row r="434" spans="2:12" ht="15">
      <c r="B434" s="208"/>
      <c r="F434" s="177"/>
      <c r="G434" s="218"/>
      <c r="H434" s="218"/>
      <c r="I434" s="217"/>
      <c r="L434" s="217"/>
    </row>
    <row r="435" spans="2:12" ht="15">
      <c r="B435" s="208"/>
      <c r="F435" s="246"/>
      <c r="G435" s="218"/>
      <c r="H435" s="218"/>
      <c r="I435" s="217"/>
      <c r="L435" s="217"/>
    </row>
    <row r="436" spans="2:12" ht="12.75">
      <c r="B436" s="208"/>
      <c r="F436" s="81"/>
      <c r="G436" s="218"/>
      <c r="H436" s="210"/>
      <c r="I436" s="217"/>
      <c r="L436" s="217"/>
    </row>
    <row r="437" spans="2:12" ht="12.75">
      <c r="B437" s="208"/>
      <c r="F437" s="81"/>
      <c r="G437" s="210"/>
      <c r="H437" s="210"/>
      <c r="I437" s="201"/>
      <c r="J437" s="201"/>
      <c r="L437" s="217"/>
    </row>
    <row r="438" spans="6:12" ht="12.75">
      <c r="F438" s="81"/>
      <c r="G438" s="210"/>
      <c r="H438" s="216"/>
      <c r="I438" s="201"/>
      <c r="J438" s="201"/>
      <c r="L438" s="217"/>
    </row>
    <row r="439" spans="6:8" ht="12.75">
      <c r="F439" s="81"/>
      <c r="G439" s="216"/>
      <c r="H439" s="216"/>
    </row>
    <row r="440" spans="2:8" ht="12.75">
      <c r="B440" s="219"/>
      <c r="F440" s="81"/>
      <c r="G440" s="216"/>
      <c r="H440" s="216"/>
    </row>
    <row r="441" spans="1:13" s="179" customFormat="1" ht="15">
      <c r="A441" s="93"/>
      <c r="B441" s="221"/>
      <c r="C441" s="178"/>
      <c r="D441" s="93"/>
      <c r="F441" s="80"/>
      <c r="G441" s="216"/>
      <c r="H441" s="243"/>
      <c r="I441" s="216"/>
      <c r="J441" s="220"/>
      <c r="L441" s="220"/>
      <c r="M441" s="220"/>
    </row>
    <row r="442" spans="2:9" ht="15">
      <c r="B442" s="221"/>
      <c r="E442" s="224"/>
      <c r="F442" s="80"/>
      <c r="G442" s="225"/>
      <c r="H442" s="243"/>
      <c r="I442" s="226"/>
    </row>
    <row r="443" spans="2:9" ht="15">
      <c r="B443" s="221"/>
      <c r="C443" s="222"/>
      <c r="E443" s="224"/>
      <c r="F443" s="80"/>
      <c r="G443" s="225"/>
      <c r="H443" s="243"/>
      <c r="I443" s="225"/>
    </row>
    <row r="444" spans="2:9" ht="15">
      <c r="B444" s="221"/>
      <c r="C444" s="222"/>
      <c r="D444" s="223"/>
      <c r="E444" s="224"/>
      <c r="F444" s="80"/>
      <c r="G444" s="225"/>
      <c r="H444" s="225"/>
      <c r="I444" s="225"/>
    </row>
    <row r="445" spans="2:9" ht="15">
      <c r="B445" s="221"/>
      <c r="C445" s="222"/>
      <c r="D445" s="223"/>
      <c r="E445" s="224"/>
      <c r="F445" s="215"/>
      <c r="G445" s="243"/>
      <c r="H445" s="225"/>
      <c r="I445" s="225"/>
    </row>
    <row r="446" spans="2:9" ht="15">
      <c r="B446" s="221"/>
      <c r="C446" s="222"/>
      <c r="D446" s="223"/>
      <c r="E446" s="224"/>
      <c r="F446" s="215"/>
      <c r="G446" s="243"/>
      <c r="H446" s="225"/>
      <c r="I446" s="227"/>
    </row>
    <row r="447" spans="2:9" ht="15">
      <c r="B447" s="221"/>
      <c r="C447" s="222"/>
      <c r="D447" s="223"/>
      <c r="E447" s="224"/>
      <c r="F447" s="81"/>
      <c r="G447" s="243"/>
      <c r="H447" s="225"/>
      <c r="I447" s="225"/>
    </row>
    <row r="448" spans="2:9" ht="15">
      <c r="B448" s="221"/>
      <c r="C448" s="222"/>
      <c r="D448" s="223"/>
      <c r="E448" s="224"/>
      <c r="F448" s="80"/>
      <c r="G448" s="243"/>
      <c r="H448" s="225"/>
      <c r="I448" s="225"/>
    </row>
    <row r="449" spans="2:9" ht="15">
      <c r="B449" s="221"/>
      <c r="C449" s="222"/>
      <c r="D449" s="223"/>
      <c r="E449" s="224"/>
      <c r="F449" s="215"/>
      <c r="G449" s="243"/>
      <c r="H449" s="225"/>
      <c r="I449" s="225"/>
    </row>
    <row r="450" spans="2:9" ht="15">
      <c r="B450" s="221"/>
      <c r="C450" s="222"/>
      <c r="D450" s="223"/>
      <c r="E450" s="224"/>
      <c r="F450" s="81"/>
      <c r="G450" s="243"/>
      <c r="H450" s="225"/>
      <c r="I450" s="225"/>
    </row>
    <row r="451" spans="2:9" ht="15">
      <c r="B451" s="221"/>
      <c r="C451" s="222"/>
      <c r="D451" s="223"/>
      <c r="E451" s="224"/>
      <c r="F451" s="247"/>
      <c r="G451" s="225"/>
      <c r="H451" s="225"/>
      <c r="I451" s="225"/>
    </row>
    <row r="452" spans="2:9" ht="15">
      <c r="B452" s="221"/>
      <c r="C452" s="222"/>
      <c r="D452" s="223"/>
      <c r="E452" s="224"/>
      <c r="F452" s="81"/>
      <c r="G452" s="225"/>
      <c r="H452" s="225"/>
      <c r="I452" s="225"/>
    </row>
    <row r="453" spans="2:9" ht="15">
      <c r="B453" s="221"/>
      <c r="C453" s="222"/>
      <c r="D453" s="223"/>
      <c r="E453" s="224"/>
      <c r="F453" s="81"/>
      <c r="G453" s="225"/>
      <c r="H453" s="225"/>
      <c r="I453" s="225"/>
    </row>
    <row r="454" spans="2:9" ht="15">
      <c r="B454" s="221"/>
      <c r="C454" s="222"/>
      <c r="D454" s="223"/>
      <c r="E454" s="224"/>
      <c r="G454" s="225"/>
      <c r="H454" s="225"/>
      <c r="I454" s="225"/>
    </row>
    <row r="455" spans="2:9" ht="15">
      <c r="B455" s="221"/>
      <c r="C455" s="222"/>
      <c r="D455" s="223"/>
      <c r="E455" s="224"/>
      <c r="F455" s="81"/>
      <c r="G455" s="225"/>
      <c r="H455" s="225"/>
      <c r="I455" s="225"/>
    </row>
    <row r="456" spans="2:9" ht="15">
      <c r="B456" s="221"/>
      <c r="C456" s="222"/>
      <c r="D456" s="223"/>
      <c r="E456" s="224"/>
      <c r="F456" s="183"/>
      <c r="G456" s="225"/>
      <c r="H456" s="225"/>
      <c r="I456" s="225"/>
    </row>
    <row r="457" spans="2:9" ht="15">
      <c r="B457" s="221"/>
      <c r="C457" s="222"/>
      <c r="D457" s="223"/>
      <c r="E457" s="224"/>
      <c r="F457" s="183"/>
      <c r="G457" s="225"/>
      <c r="H457" s="225"/>
      <c r="I457" s="225"/>
    </row>
    <row r="458" spans="2:9" ht="15">
      <c r="B458" s="221"/>
      <c r="C458" s="222"/>
      <c r="D458" s="223"/>
      <c r="E458" s="224"/>
      <c r="F458" s="80"/>
      <c r="G458" s="225"/>
      <c r="H458" s="225"/>
      <c r="I458" s="225"/>
    </row>
    <row r="459" spans="2:9" ht="15">
      <c r="B459" s="221"/>
      <c r="C459" s="222"/>
      <c r="D459" s="223"/>
      <c r="E459" s="224"/>
      <c r="F459" s="81"/>
      <c r="G459" s="225"/>
      <c r="H459" s="225"/>
      <c r="I459" s="225"/>
    </row>
    <row r="460" spans="2:9" ht="15">
      <c r="B460" s="221"/>
      <c r="C460" s="222"/>
      <c r="D460" s="223"/>
      <c r="E460" s="224"/>
      <c r="F460" s="81"/>
      <c r="G460" s="225"/>
      <c r="H460" s="225"/>
      <c r="I460" s="225"/>
    </row>
    <row r="461" spans="2:9" ht="15">
      <c r="B461" s="221"/>
      <c r="C461" s="222"/>
      <c r="D461" s="223"/>
      <c r="E461" s="224"/>
      <c r="F461" s="183"/>
      <c r="G461" s="225"/>
      <c r="H461" s="225"/>
      <c r="I461" s="225"/>
    </row>
    <row r="462" spans="2:9" ht="15">
      <c r="B462" s="221"/>
      <c r="C462" s="222"/>
      <c r="D462" s="223"/>
      <c r="E462" s="224"/>
      <c r="F462" s="183"/>
      <c r="G462" s="225"/>
      <c r="H462" s="225"/>
      <c r="I462" s="225"/>
    </row>
    <row r="463" spans="2:9" ht="15">
      <c r="B463" s="221"/>
      <c r="C463" s="222"/>
      <c r="D463" s="223"/>
      <c r="E463" s="224"/>
      <c r="F463" s="183"/>
      <c r="G463" s="225"/>
      <c r="H463" s="225"/>
      <c r="I463" s="225"/>
    </row>
    <row r="464" spans="2:9" ht="15">
      <c r="B464" s="221"/>
      <c r="C464" s="222"/>
      <c r="D464" s="223"/>
      <c r="E464" s="224"/>
      <c r="F464" s="177"/>
      <c r="G464" s="225"/>
      <c r="H464" s="243"/>
      <c r="I464" s="225"/>
    </row>
    <row r="465" spans="2:9" ht="15">
      <c r="B465" s="221"/>
      <c r="C465" s="222"/>
      <c r="D465" s="223"/>
      <c r="E465" s="224"/>
      <c r="F465" s="80"/>
      <c r="G465" s="225"/>
      <c r="H465" s="225"/>
      <c r="I465" s="225"/>
    </row>
    <row r="466" spans="2:9" ht="15">
      <c r="B466" s="221"/>
      <c r="C466" s="222"/>
      <c r="D466" s="223"/>
      <c r="E466" s="224"/>
      <c r="F466" s="244"/>
      <c r="G466" s="243"/>
      <c r="H466" s="225"/>
      <c r="I466" s="225"/>
    </row>
    <row r="467" spans="2:9" ht="15">
      <c r="B467" s="221"/>
      <c r="C467" s="222"/>
      <c r="D467" s="223"/>
      <c r="E467" s="224"/>
      <c r="F467" s="177"/>
      <c r="G467" s="243"/>
      <c r="H467" s="225"/>
      <c r="I467" s="225"/>
    </row>
    <row r="468" spans="2:9" ht="15">
      <c r="B468" s="221"/>
      <c r="C468" s="222"/>
      <c r="D468" s="223"/>
      <c r="E468" s="224"/>
      <c r="F468" s="246"/>
      <c r="G468" s="243"/>
      <c r="H468" s="225"/>
      <c r="I468" s="225"/>
    </row>
    <row r="469" spans="2:9" ht="15">
      <c r="B469" s="221"/>
      <c r="C469" s="222"/>
      <c r="D469" s="223"/>
      <c r="E469" s="224"/>
      <c r="F469" s="80"/>
      <c r="G469" s="243"/>
      <c r="H469" s="225"/>
      <c r="I469" s="225"/>
    </row>
    <row r="470" spans="2:9" ht="15">
      <c r="B470" s="221"/>
      <c r="C470" s="222"/>
      <c r="D470" s="223"/>
      <c r="E470" s="224"/>
      <c r="F470" s="177"/>
      <c r="G470" s="225"/>
      <c r="H470" s="243"/>
      <c r="I470" s="225"/>
    </row>
    <row r="471" spans="2:9" ht="15">
      <c r="B471" s="221"/>
      <c r="C471" s="222"/>
      <c r="D471" s="223"/>
      <c r="E471" s="224"/>
      <c r="F471" s="177"/>
      <c r="G471" s="225"/>
      <c r="H471" s="243"/>
      <c r="I471" s="225"/>
    </row>
    <row r="472" spans="2:9" ht="15">
      <c r="B472" s="221"/>
      <c r="C472" s="222"/>
      <c r="D472" s="223"/>
      <c r="E472" s="224"/>
      <c r="F472" s="246"/>
      <c r="G472" s="225"/>
      <c r="H472" s="243"/>
      <c r="I472" s="225"/>
    </row>
    <row r="473" spans="2:9" ht="15">
      <c r="B473" s="221"/>
      <c r="C473" s="222"/>
      <c r="D473" s="223"/>
      <c r="E473" s="224"/>
      <c r="F473" s="236"/>
      <c r="G473" s="243"/>
      <c r="H473" s="225"/>
      <c r="I473" s="225"/>
    </row>
    <row r="474" spans="2:9" ht="15">
      <c r="B474" s="221"/>
      <c r="C474" s="222"/>
      <c r="D474" s="223"/>
      <c r="E474" s="224"/>
      <c r="F474" s="177"/>
      <c r="G474" s="243"/>
      <c r="H474" s="225"/>
      <c r="I474" s="225"/>
    </row>
    <row r="475" spans="2:9" ht="15">
      <c r="B475" s="221"/>
      <c r="C475" s="222"/>
      <c r="D475" s="223"/>
      <c r="E475" s="224"/>
      <c r="F475" s="177"/>
      <c r="G475" s="225"/>
      <c r="H475" s="225"/>
      <c r="I475" s="225"/>
    </row>
    <row r="476" spans="2:9" ht="15">
      <c r="B476" s="221"/>
      <c r="C476" s="222"/>
      <c r="D476" s="223"/>
      <c r="E476" s="224"/>
      <c r="F476" s="80"/>
      <c r="G476" s="225"/>
      <c r="H476" s="225"/>
      <c r="I476" s="225"/>
    </row>
    <row r="477" spans="2:9" ht="15">
      <c r="B477" s="221"/>
      <c r="C477" s="222"/>
      <c r="D477" s="223"/>
      <c r="E477" s="224"/>
      <c r="F477" s="236"/>
      <c r="G477" s="243"/>
      <c r="H477" s="225"/>
      <c r="I477" s="225"/>
    </row>
    <row r="478" spans="2:9" ht="15">
      <c r="B478" s="221"/>
      <c r="C478" s="222"/>
      <c r="D478" s="223"/>
      <c r="E478" s="224"/>
      <c r="F478" s="236"/>
      <c r="G478" s="243"/>
      <c r="H478" s="225"/>
      <c r="I478" s="225"/>
    </row>
    <row r="479" spans="2:9" ht="15">
      <c r="B479" s="221"/>
      <c r="C479" s="222"/>
      <c r="D479" s="223"/>
      <c r="E479" s="224"/>
      <c r="F479" s="236"/>
      <c r="G479" s="243"/>
      <c r="H479" s="225"/>
      <c r="I479" s="225"/>
    </row>
    <row r="480" spans="2:9" ht="15">
      <c r="B480" s="221"/>
      <c r="C480" s="222"/>
      <c r="D480" s="223"/>
      <c r="E480" s="224"/>
      <c r="F480" s="108"/>
      <c r="G480" s="243"/>
      <c r="H480" s="225"/>
      <c r="I480" s="225"/>
    </row>
    <row r="481" spans="2:9" ht="15">
      <c r="B481" s="221"/>
      <c r="C481" s="222"/>
      <c r="D481" s="223"/>
      <c r="E481" s="224"/>
      <c r="F481" s="245"/>
      <c r="G481" s="243"/>
      <c r="H481" s="243"/>
      <c r="I481" s="225"/>
    </row>
    <row r="482" spans="2:9" ht="15">
      <c r="B482" s="221"/>
      <c r="C482" s="222"/>
      <c r="D482" s="223"/>
      <c r="E482" s="224"/>
      <c r="F482" s="80"/>
      <c r="G482" s="225"/>
      <c r="H482" s="243"/>
      <c r="I482" s="225"/>
    </row>
    <row r="483" spans="2:9" ht="15">
      <c r="B483" s="221"/>
      <c r="C483" s="222"/>
      <c r="D483" s="223"/>
      <c r="E483" s="224"/>
      <c r="F483" s="198"/>
      <c r="G483" s="243"/>
      <c r="H483" s="243"/>
      <c r="I483" s="225"/>
    </row>
    <row r="484" spans="2:9" ht="15">
      <c r="B484" s="221"/>
      <c r="C484" s="222"/>
      <c r="D484" s="223"/>
      <c r="E484" s="224"/>
      <c r="F484" s="199"/>
      <c r="G484" s="243"/>
      <c r="H484" s="225"/>
      <c r="I484" s="225"/>
    </row>
    <row r="485" spans="2:9" ht="15">
      <c r="B485" s="221"/>
      <c r="C485" s="222"/>
      <c r="D485" s="223"/>
      <c r="E485" s="224"/>
      <c r="F485" s="199"/>
      <c r="G485" s="243"/>
      <c r="H485" s="243"/>
      <c r="I485" s="225"/>
    </row>
    <row r="486" spans="2:9" ht="15">
      <c r="B486" s="221"/>
      <c r="C486" s="222"/>
      <c r="D486" s="223"/>
      <c r="E486" s="224"/>
      <c r="F486" s="198"/>
      <c r="G486" s="225"/>
      <c r="H486" s="238"/>
      <c r="I486" s="225"/>
    </row>
    <row r="487" spans="2:9" ht="15">
      <c r="B487" s="221"/>
      <c r="C487" s="222"/>
      <c r="D487" s="223"/>
      <c r="E487" s="224"/>
      <c r="F487" s="199"/>
      <c r="G487" s="238"/>
      <c r="H487" s="238"/>
      <c r="I487" s="225"/>
    </row>
    <row r="488" spans="2:9" ht="15">
      <c r="B488" s="221"/>
      <c r="C488" s="222"/>
      <c r="D488" s="223"/>
      <c r="E488" s="224"/>
      <c r="F488" s="199"/>
      <c r="G488" s="238"/>
      <c r="H488" s="227"/>
      <c r="I488" s="225"/>
    </row>
    <row r="489" spans="2:9" ht="15">
      <c r="B489" s="221"/>
      <c r="C489" s="222"/>
      <c r="D489" s="223"/>
      <c r="E489" s="224"/>
      <c r="F489" s="199"/>
      <c r="G489" s="238"/>
      <c r="H489" s="238"/>
      <c r="I489" s="225"/>
    </row>
    <row r="490" spans="2:9" ht="15">
      <c r="B490" s="221"/>
      <c r="C490" s="222"/>
      <c r="D490" s="223"/>
      <c r="E490" s="224"/>
      <c r="F490" s="198"/>
      <c r="G490" s="238"/>
      <c r="H490" s="238"/>
      <c r="I490" s="225"/>
    </row>
    <row r="491" spans="2:9" ht="15">
      <c r="B491" s="221"/>
      <c r="C491" s="222"/>
      <c r="D491" s="223"/>
      <c r="E491" s="224"/>
      <c r="F491" s="198"/>
      <c r="G491" s="238"/>
      <c r="H491" s="238"/>
      <c r="I491" s="225"/>
    </row>
    <row r="492" spans="2:9" ht="15">
      <c r="B492" s="221"/>
      <c r="C492" s="222"/>
      <c r="D492" s="223"/>
      <c r="E492" s="224"/>
      <c r="F492" s="198"/>
      <c r="G492" s="238"/>
      <c r="H492" s="238"/>
      <c r="I492" s="225"/>
    </row>
    <row r="493" spans="2:9" ht="15">
      <c r="B493" s="221"/>
      <c r="C493" s="222"/>
      <c r="D493" s="223"/>
      <c r="E493" s="224"/>
      <c r="F493" s="199"/>
      <c r="G493" s="238"/>
      <c r="H493" s="238"/>
      <c r="I493" s="225"/>
    </row>
    <row r="494" spans="2:9" ht="15">
      <c r="B494" s="221"/>
      <c r="C494" s="222"/>
      <c r="D494" s="223"/>
      <c r="E494" s="224"/>
      <c r="F494" s="199"/>
      <c r="G494" s="238"/>
      <c r="H494" s="239"/>
      <c r="I494" s="225"/>
    </row>
    <row r="495" spans="2:8" ht="15">
      <c r="B495" s="221"/>
      <c r="C495" s="222"/>
      <c r="D495" s="223"/>
      <c r="E495" s="224"/>
      <c r="F495" s="198"/>
      <c r="G495" s="239"/>
      <c r="H495" s="239"/>
    </row>
    <row r="496" spans="2:8" ht="15">
      <c r="B496" s="221"/>
      <c r="C496" s="222"/>
      <c r="D496" s="223"/>
      <c r="E496" s="224"/>
      <c r="F496" s="199"/>
      <c r="G496" s="239"/>
      <c r="H496" s="239"/>
    </row>
    <row r="497" spans="2:8" ht="15">
      <c r="B497" s="221"/>
      <c r="C497" s="222"/>
      <c r="D497" s="223"/>
      <c r="E497" s="224"/>
      <c r="F497" s="198"/>
      <c r="G497" s="239"/>
      <c r="H497" s="239"/>
    </row>
    <row r="498" spans="2:8" ht="15">
      <c r="B498" s="221"/>
      <c r="C498" s="222"/>
      <c r="D498" s="223"/>
      <c r="E498" s="224"/>
      <c r="F498" s="199"/>
      <c r="G498" s="239"/>
      <c r="H498" s="239"/>
    </row>
    <row r="499" spans="2:8" ht="15">
      <c r="B499" s="221"/>
      <c r="C499" s="222"/>
      <c r="D499" s="223"/>
      <c r="E499" s="224"/>
      <c r="F499" s="249"/>
      <c r="G499" s="239"/>
      <c r="H499" s="239"/>
    </row>
    <row r="500" spans="2:8" ht="15">
      <c r="B500" s="221"/>
      <c r="C500" s="222"/>
      <c r="D500" s="223"/>
      <c r="E500" s="224"/>
      <c r="F500" s="198"/>
      <c r="G500" s="239"/>
      <c r="H500" s="239"/>
    </row>
    <row r="501" spans="2:8" ht="15">
      <c r="B501" s="221"/>
      <c r="C501" s="222"/>
      <c r="D501" s="223"/>
      <c r="E501" s="224"/>
      <c r="F501" s="198"/>
      <c r="G501" s="239"/>
      <c r="H501" s="239"/>
    </row>
    <row r="502" spans="2:8" ht="15">
      <c r="B502" s="221"/>
      <c r="C502" s="222"/>
      <c r="D502" s="223"/>
      <c r="E502" s="224"/>
      <c r="F502" s="198"/>
      <c r="G502" s="239"/>
      <c r="H502" s="239"/>
    </row>
    <row r="503" spans="2:8" ht="15">
      <c r="B503" s="221"/>
      <c r="C503" s="222"/>
      <c r="D503" s="223"/>
      <c r="E503" s="224"/>
      <c r="F503" s="198"/>
      <c r="G503" s="239"/>
      <c r="H503" s="239"/>
    </row>
    <row r="504" spans="2:8" ht="15">
      <c r="B504" s="221"/>
      <c r="C504" s="222"/>
      <c r="D504" s="223"/>
      <c r="E504" s="224"/>
      <c r="F504" s="198"/>
      <c r="G504" s="228"/>
      <c r="H504" s="239"/>
    </row>
    <row r="505" spans="2:8" ht="15">
      <c r="B505" s="221"/>
      <c r="C505" s="222"/>
      <c r="D505" s="223"/>
      <c r="E505" s="224"/>
      <c r="F505" s="199"/>
      <c r="G505" s="228"/>
      <c r="H505" s="239"/>
    </row>
    <row r="506" spans="2:8" ht="15">
      <c r="B506" s="221"/>
      <c r="C506" s="222"/>
      <c r="D506" s="223"/>
      <c r="E506" s="224"/>
      <c r="F506" s="198"/>
      <c r="G506" s="228"/>
      <c r="H506" s="239"/>
    </row>
    <row r="507" spans="2:8" ht="15">
      <c r="B507" s="221"/>
      <c r="C507" s="222"/>
      <c r="D507" s="223"/>
      <c r="E507" s="224"/>
      <c r="F507" s="198"/>
      <c r="G507" s="228"/>
      <c r="H507" s="239"/>
    </row>
    <row r="508" spans="2:8" ht="15">
      <c r="B508" s="221"/>
      <c r="C508" s="222"/>
      <c r="D508" s="223"/>
      <c r="E508" s="224"/>
      <c r="F508" s="244"/>
      <c r="G508" s="228"/>
      <c r="H508" s="239"/>
    </row>
    <row r="509" spans="2:8" ht="15">
      <c r="B509" s="221"/>
      <c r="C509" s="222"/>
      <c r="D509" s="223"/>
      <c r="E509" s="224"/>
      <c r="F509" s="236"/>
      <c r="G509" s="228"/>
      <c r="H509" s="239"/>
    </row>
    <row r="510" spans="2:8" ht="15">
      <c r="B510" s="221"/>
      <c r="C510" s="222"/>
      <c r="D510" s="223"/>
      <c r="E510" s="224"/>
      <c r="F510" s="236"/>
      <c r="G510" s="228"/>
      <c r="H510" s="239"/>
    </row>
    <row r="511" spans="2:8" ht="15">
      <c r="B511" s="221"/>
      <c r="C511" s="222"/>
      <c r="D511" s="223"/>
      <c r="E511" s="224"/>
      <c r="F511" s="80"/>
      <c r="G511" s="228"/>
      <c r="H511" s="239"/>
    </row>
    <row r="512" spans="2:8" ht="15">
      <c r="B512" s="221"/>
      <c r="C512" s="222"/>
      <c r="D512" s="223"/>
      <c r="E512" s="224"/>
      <c r="F512" s="244"/>
      <c r="G512" s="228"/>
      <c r="H512" s="239"/>
    </row>
    <row r="513" spans="2:8" ht="15">
      <c r="B513" s="221"/>
      <c r="C513" s="222"/>
      <c r="D513" s="223"/>
      <c r="E513" s="224"/>
      <c r="F513" s="177"/>
      <c r="G513" s="228"/>
      <c r="H513" s="239"/>
    </row>
    <row r="514" spans="2:8" ht="15">
      <c r="B514" s="221"/>
      <c r="C514" s="222"/>
      <c r="D514" s="223"/>
      <c r="E514" s="224"/>
      <c r="F514" s="80"/>
      <c r="G514" s="239"/>
      <c r="H514" s="239"/>
    </row>
    <row r="515" spans="2:8" ht="15">
      <c r="B515" s="221"/>
      <c r="C515" s="222"/>
      <c r="D515" s="223"/>
      <c r="E515" s="224"/>
      <c r="F515" s="247"/>
      <c r="G515" s="239"/>
      <c r="H515" s="239"/>
    </row>
    <row r="516" spans="2:8" ht="15">
      <c r="B516" s="221"/>
      <c r="C516" s="222"/>
      <c r="D516" s="223"/>
      <c r="E516" s="224"/>
      <c r="F516" s="199"/>
      <c r="G516" s="239"/>
      <c r="H516" s="239"/>
    </row>
    <row r="517" spans="2:8" ht="15">
      <c r="B517" s="221"/>
      <c r="C517" s="222"/>
      <c r="D517" s="223"/>
      <c r="E517" s="224"/>
      <c r="F517" s="244"/>
      <c r="G517" s="239"/>
      <c r="H517" s="239"/>
    </row>
    <row r="518" spans="2:8" ht="15">
      <c r="B518" s="221"/>
      <c r="C518" s="222"/>
      <c r="D518" s="223"/>
      <c r="E518" s="224"/>
      <c r="F518" s="244"/>
      <c r="G518" s="239"/>
      <c r="H518" s="239"/>
    </row>
    <row r="519" spans="2:8" ht="15">
      <c r="B519" s="221"/>
      <c r="C519" s="222"/>
      <c r="D519" s="223"/>
      <c r="E519" s="224"/>
      <c r="F519" s="198"/>
      <c r="G519" s="239"/>
      <c r="H519" s="239"/>
    </row>
    <row r="520" spans="2:8" ht="15">
      <c r="B520" s="221"/>
      <c r="C520" s="222"/>
      <c r="D520" s="223"/>
      <c r="E520" s="224"/>
      <c r="F520" s="203"/>
      <c r="G520" s="239"/>
      <c r="H520" s="239"/>
    </row>
    <row r="521" spans="2:8" ht="15">
      <c r="B521" s="221"/>
      <c r="C521" s="222"/>
      <c r="D521" s="223"/>
      <c r="E521" s="224"/>
      <c r="F521" s="80"/>
      <c r="G521" s="239"/>
      <c r="H521" s="239"/>
    </row>
    <row r="522" spans="2:8" ht="15">
      <c r="B522" s="221"/>
      <c r="C522" s="222"/>
      <c r="D522" s="223"/>
      <c r="E522" s="224"/>
      <c r="F522" s="177"/>
      <c r="G522" s="239"/>
      <c r="H522" s="239"/>
    </row>
    <row r="523" spans="2:8" ht="15">
      <c r="B523" s="221"/>
      <c r="C523" s="222"/>
      <c r="D523" s="223"/>
      <c r="E523" s="224"/>
      <c r="F523" s="245"/>
      <c r="G523" s="239"/>
      <c r="H523" s="239"/>
    </row>
    <row r="524" spans="2:8" ht="15">
      <c r="B524" s="221"/>
      <c r="C524" s="222"/>
      <c r="D524" s="223"/>
      <c r="E524" s="224"/>
      <c r="F524" s="234"/>
      <c r="G524" s="239"/>
      <c r="H524" s="239"/>
    </row>
    <row r="525" spans="2:8" ht="15">
      <c r="B525" s="221"/>
      <c r="C525" s="222"/>
      <c r="D525" s="223"/>
      <c r="E525" s="224"/>
      <c r="F525" s="177"/>
      <c r="G525" s="239"/>
      <c r="H525" s="239"/>
    </row>
    <row r="526" spans="2:8" ht="15">
      <c r="B526" s="221"/>
      <c r="C526" s="222"/>
      <c r="D526" s="223"/>
      <c r="E526" s="224"/>
      <c r="F526" s="177"/>
      <c r="G526" s="239"/>
      <c r="H526" s="239"/>
    </row>
    <row r="527" spans="2:8" ht="15">
      <c r="B527" s="221"/>
      <c r="C527" s="222"/>
      <c r="D527" s="223"/>
      <c r="E527" s="224"/>
      <c r="F527" s="199"/>
      <c r="G527" s="239"/>
      <c r="H527" s="239"/>
    </row>
    <row r="528" spans="2:8" ht="15">
      <c r="B528" s="221"/>
      <c r="C528" s="222"/>
      <c r="D528" s="223"/>
      <c r="E528" s="224"/>
      <c r="F528" s="199"/>
      <c r="G528" s="239"/>
      <c r="H528" s="239"/>
    </row>
    <row r="529" spans="2:8" ht="15">
      <c r="B529" s="221"/>
      <c r="C529" s="222"/>
      <c r="D529" s="223"/>
      <c r="E529" s="224"/>
      <c r="F529" s="199"/>
      <c r="G529" s="239"/>
      <c r="H529" s="239"/>
    </row>
    <row r="530" spans="3:8" ht="15">
      <c r="C530" s="222"/>
      <c r="D530" s="223"/>
      <c r="E530" s="224"/>
      <c r="F530" s="199"/>
      <c r="G530" s="239"/>
      <c r="H530" s="239"/>
    </row>
    <row r="531" spans="6:8" ht="12.75">
      <c r="F531" s="80"/>
      <c r="G531" s="239"/>
      <c r="H531" s="239"/>
    </row>
    <row r="532" spans="6:8" ht="12.75">
      <c r="F532" s="89"/>
      <c r="G532" s="239"/>
      <c r="H532" s="239"/>
    </row>
    <row r="533" spans="6:8" ht="12.75">
      <c r="F533" s="80"/>
      <c r="G533" s="239"/>
      <c r="H533" s="239"/>
    </row>
    <row r="534" spans="6:8" ht="12.75">
      <c r="F534" s="205"/>
      <c r="G534" s="239"/>
      <c r="H534" s="239"/>
    </row>
    <row r="535" spans="6:8" ht="12.75">
      <c r="F535" s="108"/>
      <c r="G535" s="239"/>
      <c r="H535" s="239"/>
    </row>
    <row r="536" spans="6:8" ht="12.75">
      <c r="F536" s="202"/>
      <c r="G536" s="239"/>
      <c r="H536" s="239"/>
    </row>
    <row r="537" spans="6:8" ht="12.75">
      <c r="F537" s="205"/>
      <c r="G537" s="239"/>
      <c r="H537" s="239"/>
    </row>
    <row r="538" spans="6:8" ht="12.75">
      <c r="F538" s="204"/>
      <c r="G538" s="239"/>
      <c r="H538" s="239"/>
    </row>
    <row r="539" spans="6:8" ht="12.75">
      <c r="F539" s="203"/>
      <c r="G539" s="239"/>
      <c r="H539" s="239"/>
    </row>
    <row r="540" spans="6:8" ht="12.75">
      <c r="F540" s="203"/>
      <c r="G540" s="239"/>
      <c r="H540" s="239"/>
    </row>
    <row r="541" spans="6:8" ht="12.75">
      <c r="F541" s="201"/>
      <c r="G541" s="239"/>
      <c r="H541" s="235"/>
    </row>
    <row r="542" spans="6:10" ht="12.75">
      <c r="F542" s="201"/>
      <c r="G542" s="235"/>
      <c r="H542" s="235"/>
      <c r="I542" s="201"/>
      <c r="J542" s="201"/>
    </row>
    <row r="543" spans="6:10" ht="12.75">
      <c r="F543" s="80"/>
      <c r="G543" s="235"/>
      <c r="H543" s="239"/>
      <c r="I543" s="201"/>
      <c r="J543" s="201"/>
    </row>
    <row r="544" spans="6:8" ht="12.75">
      <c r="F544" s="108"/>
      <c r="G544" s="239"/>
      <c r="H544" s="239"/>
    </row>
    <row r="545" spans="6:8" ht="12.75">
      <c r="F545" s="202"/>
      <c r="G545" s="239"/>
      <c r="H545" s="239"/>
    </row>
    <row r="546" spans="6:8" ht="12.75">
      <c r="F546" s="203"/>
      <c r="G546" s="239"/>
      <c r="H546" s="239"/>
    </row>
    <row r="547" spans="6:8" ht="12.75">
      <c r="F547" s="203"/>
      <c r="G547" s="239"/>
      <c r="H547" s="239"/>
    </row>
    <row r="548" spans="6:8" ht="12.75">
      <c r="F548" s="229"/>
      <c r="G548" s="239"/>
      <c r="H548" s="239"/>
    </row>
    <row r="549" spans="6:8" ht="12.75">
      <c r="F549" s="202"/>
      <c r="G549" s="239"/>
      <c r="H549" s="239"/>
    </row>
    <row r="550" spans="6:8" ht="12.75">
      <c r="F550" s="108"/>
      <c r="G550" s="239"/>
      <c r="H550" s="239"/>
    </row>
    <row r="551" spans="6:8" ht="12.75">
      <c r="F551" s="80"/>
      <c r="G551" s="239"/>
      <c r="H551" s="239"/>
    </row>
    <row r="552" spans="6:8" ht="12.75">
      <c r="F552" s="81"/>
      <c r="G552" s="239"/>
      <c r="H552" s="239"/>
    </row>
    <row r="553" spans="6:8" ht="12.75">
      <c r="F553" s="81"/>
      <c r="G553" s="239"/>
      <c r="H553" s="239"/>
    </row>
    <row r="554" spans="6:8" ht="12.75">
      <c r="F554" s="81"/>
      <c r="G554" s="239"/>
      <c r="H554" s="239"/>
    </row>
    <row r="555" spans="6:8" ht="12.75">
      <c r="F555" s="81"/>
      <c r="G555" s="239"/>
      <c r="H555" s="239"/>
    </row>
    <row r="556" spans="6:8" ht="12.75">
      <c r="F556" s="81"/>
      <c r="G556" s="239"/>
      <c r="H556" s="239"/>
    </row>
    <row r="557" spans="6:8" ht="12.75">
      <c r="F557" s="81"/>
      <c r="G557" s="239"/>
      <c r="H557" s="239"/>
    </row>
    <row r="558" spans="6:8" ht="12.75">
      <c r="F558" s="81"/>
      <c r="G558" s="239"/>
      <c r="H558" s="239"/>
    </row>
    <row r="559" spans="2:8" ht="12.75">
      <c r="B559" s="230"/>
      <c r="F559" s="81"/>
      <c r="G559" s="239"/>
      <c r="H559" s="239"/>
    </row>
    <row r="560" spans="2:8" ht="12.75">
      <c r="B560" s="230"/>
      <c r="D560" s="231"/>
      <c r="F560" s="80"/>
      <c r="G560" s="240"/>
      <c r="H560" s="240"/>
    </row>
    <row r="561" spans="2:8" ht="12.75">
      <c r="B561" s="230"/>
      <c r="D561" s="231"/>
      <c r="F561" s="109"/>
      <c r="G561" s="239"/>
      <c r="H561" s="240"/>
    </row>
    <row r="562" spans="2:8" ht="12.75">
      <c r="B562" s="230"/>
      <c r="D562" s="231"/>
      <c r="F562" s="205"/>
      <c r="G562" s="239"/>
      <c r="H562" s="240"/>
    </row>
    <row r="563" spans="2:8" ht="12.75">
      <c r="B563" s="230"/>
      <c r="D563" s="231"/>
      <c r="F563" s="205"/>
      <c r="G563" s="239"/>
      <c r="H563" s="240"/>
    </row>
    <row r="564" spans="2:8" ht="12.75">
      <c r="B564" s="230"/>
      <c r="D564" s="231"/>
      <c r="F564" s="205"/>
      <c r="G564" s="239"/>
      <c r="H564" s="240"/>
    </row>
    <row r="565" spans="2:8" ht="12.75">
      <c r="B565" s="230"/>
      <c r="D565" s="231"/>
      <c r="F565" s="205"/>
      <c r="G565" s="239"/>
      <c r="H565" s="240"/>
    </row>
    <row r="566" spans="2:8" ht="12.75">
      <c r="B566" s="230"/>
      <c r="D566" s="231"/>
      <c r="F566" s="109"/>
      <c r="G566" s="239"/>
      <c r="H566" s="240"/>
    </row>
    <row r="567" spans="2:8" ht="12.75">
      <c r="B567" s="230"/>
      <c r="D567" s="231"/>
      <c r="F567" s="205"/>
      <c r="G567" s="239"/>
      <c r="H567" s="240"/>
    </row>
    <row r="568" spans="2:8" ht="12.75">
      <c r="B568" s="230"/>
      <c r="D568" s="231"/>
      <c r="F568" s="109"/>
      <c r="G568" s="239"/>
      <c r="H568" s="240"/>
    </row>
    <row r="569" spans="2:8" ht="12.75">
      <c r="B569" s="230"/>
      <c r="D569" s="231"/>
      <c r="F569" s="205"/>
      <c r="G569" s="239"/>
      <c r="H569" s="240"/>
    </row>
    <row r="570" spans="2:8" ht="12.75">
      <c r="B570" s="230"/>
      <c r="D570" s="231"/>
      <c r="F570" s="204"/>
      <c r="G570" s="239"/>
      <c r="H570" s="239"/>
    </row>
    <row r="571" spans="2:8" ht="12.75">
      <c r="B571" s="230"/>
      <c r="D571" s="231"/>
      <c r="F571" s="202"/>
      <c r="G571" s="239"/>
      <c r="H571" s="240"/>
    </row>
    <row r="572" spans="2:8" ht="12.75">
      <c r="B572" s="230"/>
      <c r="D572" s="231"/>
      <c r="F572" s="108"/>
      <c r="G572" s="239"/>
      <c r="H572" s="240"/>
    </row>
    <row r="573" spans="2:8" ht="12.75">
      <c r="B573" s="230"/>
      <c r="D573" s="231"/>
      <c r="F573" s="81"/>
      <c r="G573" s="239"/>
      <c r="H573" s="240"/>
    </row>
    <row r="574" spans="2:8" ht="12.75">
      <c r="B574" s="230"/>
      <c r="D574" s="231"/>
      <c r="G574" s="239"/>
      <c r="H574" s="240"/>
    </row>
    <row r="575" spans="2:8" ht="12.75">
      <c r="B575" s="230"/>
      <c r="D575" s="231"/>
      <c r="G575" s="239"/>
      <c r="H575" s="240"/>
    </row>
    <row r="576" spans="2:8" ht="12.75">
      <c r="B576" s="230"/>
      <c r="D576" s="231"/>
      <c r="G576" s="239"/>
      <c r="H576" s="240"/>
    </row>
    <row r="577" spans="2:8" ht="12.75">
      <c r="B577" s="230"/>
      <c r="D577" s="231"/>
      <c r="F577" s="209"/>
      <c r="G577" s="239"/>
      <c r="H577" s="240"/>
    </row>
    <row r="578" spans="2:8" ht="12.75">
      <c r="B578" s="230"/>
      <c r="D578" s="231"/>
      <c r="F578" s="81"/>
      <c r="G578" s="239"/>
      <c r="H578" s="240"/>
    </row>
    <row r="579" spans="2:8" ht="12.75">
      <c r="B579" s="230"/>
      <c r="D579" s="231"/>
      <c r="F579" s="183"/>
      <c r="G579" s="239"/>
      <c r="H579" s="240"/>
    </row>
    <row r="580" spans="2:8" ht="12.75">
      <c r="B580" s="230"/>
      <c r="D580" s="231"/>
      <c r="F580" s="183"/>
      <c r="G580" s="239"/>
      <c r="H580" s="240"/>
    </row>
    <row r="581" spans="2:8" ht="12.75">
      <c r="B581" s="230"/>
      <c r="D581" s="231"/>
      <c r="F581" s="183"/>
      <c r="G581" s="239"/>
      <c r="H581" s="240"/>
    </row>
    <row r="582" spans="2:8" ht="12.75">
      <c r="B582" s="230"/>
      <c r="D582" s="231"/>
      <c r="F582" s="183"/>
      <c r="G582" s="239"/>
      <c r="H582" s="240"/>
    </row>
    <row r="583" spans="2:8" ht="12.75">
      <c r="B583" s="230"/>
      <c r="D583" s="231"/>
      <c r="F583" s="183"/>
      <c r="G583" s="239"/>
      <c r="H583" s="240"/>
    </row>
    <row r="584" spans="2:8" ht="12.75">
      <c r="B584" s="230"/>
      <c r="D584" s="231"/>
      <c r="F584" s="183"/>
      <c r="G584" s="239"/>
      <c r="H584" s="240"/>
    </row>
    <row r="585" spans="2:8" ht="12.75">
      <c r="B585" s="230"/>
      <c r="D585" s="231"/>
      <c r="F585" s="80"/>
      <c r="G585" s="239"/>
      <c r="H585" s="240"/>
    </row>
    <row r="586" spans="2:8" ht="12.75">
      <c r="B586" s="232"/>
      <c r="D586" s="231"/>
      <c r="F586" s="80"/>
      <c r="G586" s="239"/>
      <c r="H586" s="240"/>
    </row>
    <row r="587" spans="2:8" ht="12.75">
      <c r="B587" s="232"/>
      <c r="D587" s="233"/>
      <c r="F587" s="205"/>
      <c r="G587" s="239"/>
      <c r="H587" s="240"/>
    </row>
    <row r="588" spans="2:8" ht="12.75">
      <c r="B588" s="232"/>
      <c r="D588" s="233"/>
      <c r="F588" s="183"/>
      <c r="G588" s="239"/>
      <c r="H588" s="240"/>
    </row>
    <row r="589" spans="2:8" ht="12.75">
      <c r="B589" s="232"/>
      <c r="D589" s="233"/>
      <c r="F589" s="183"/>
      <c r="G589" s="239"/>
      <c r="H589" s="240"/>
    </row>
    <row r="590" spans="2:8" ht="12.75">
      <c r="B590" s="232"/>
      <c r="D590" s="233"/>
      <c r="F590" s="183"/>
      <c r="G590" s="239"/>
      <c r="H590" s="240"/>
    </row>
    <row r="591" spans="2:8" ht="12.75">
      <c r="B591" s="232"/>
      <c r="D591" s="233"/>
      <c r="F591" s="183"/>
      <c r="G591" s="239"/>
      <c r="H591" s="240"/>
    </row>
    <row r="592" spans="2:8" ht="12.75">
      <c r="B592" s="232"/>
      <c r="D592" s="233"/>
      <c r="F592" s="205"/>
      <c r="G592" s="239"/>
      <c r="H592" s="240"/>
    </row>
    <row r="593" spans="2:8" ht="12.75">
      <c r="B593" s="232"/>
      <c r="D593" s="233"/>
      <c r="F593" s="204"/>
      <c r="G593" s="239"/>
      <c r="H593" s="240"/>
    </row>
    <row r="594" spans="2:8" ht="12.75">
      <c r="B594" s="232"/>
      <c r="D594" s="233"/>
      <c r="F594" s="81"/>
      <c r="G594" s="239"/>
      <c r="H594" s="240"/>
    </row>
    <row r="595" spans="2:8" ht="12.75">
      <c r="B595" s="232"/>
      <c r="D595" s="233"/>
      <c r="F595" s="81"/>
      <c r="G595" s="239"/>
      <c r="H595" s="240"/>
    </row>
    <row r="596" spans="2:8" ht="12.75">
      <c r="B596" s="232"/>
      <c r="D596" s="233"/>
      <c r="F596" s="81"/>
      <c r="G596" s="239"/>
      <c r="H596" s="240"/>
    </row>
    <row r="597" spans="2:8" ht="12.75">
      <c r="B597" s="232"/>
      <c r="D597" s="233"/>
      <c r="F597" s="81"/>
      <c r="G597" s="239"/>
      <c r="H597" s="240"/>
    </row>
    <row r="598" spans="2:8" ht="12.75">
      <c r="B598" s="232"/>
      <c r="D598" s="233"/>
      <c r="F598" s="81"/>
      <c r="G598" s="239"/>
      <c r="H598" s="240"/>
    </row>
    <row r="599" spans="2:8" ht="12.75">
      <c r="B599" s="232"/>
      <c r="D599" s="233"/>
      <c r="F599" s="81"/>
      <c r="G599" s="239"/>
      <c r="H599" s="240"/>
    </row>
    <row r="600" spans="2:8" ht="12.75">
      <c r="B600" s="232"/>
      <c r="D600" s="233"/>
      <c r="F600" s="81"/>
      <c r="G600" s="239"/>
      <c r="H600" s="239"/>
    </row>
    <row r="601" spans="2:7" ht="12.75">
      <c r="B601" s="208"/>
      <c r="D601" s="233"/>
      <c r="F601" s="182"/>
      <c r="G601" s="240"/>
    </row>
    <row r="602" spans="2:6" ht="12.75">
      <c r="B602" s="208"/>
      <c r="D602" s="209"/>
      <c r="F602" s="81"/>
    </row>
    <row r="603" spans="2:6" ht="12.75">
      <c r="B603" s="208"/>
      <c r="D603" s="209"/>
      <c r="F603" s="81"/>
    </row>
    <row r="604" spans="2:6" ht="12.75">
      <c r="B604" s="208"/>
      <c r="D604" s="209"/>
      <c r="F604" s="81"/>
    </row>
    <row r="605" spans="2:6" ht="12.75">
      <c r="B605" s="208"/>
      <c r="D605" s="209"/>
      <c r="F605" s="81"/>
    </row>
    <row r="606" spans="2:6" ht="12.75">
      <c r="B606" s="208"/>
      <c r="D606" s="209"/>
      <c r="F606" s="81"/>
    </row>
    <row r="607" spans="2:6" ht="12.75">
      <c r="B607" s="208"/>
      <c r="D607" s="209"/>
      <c r="F607" s="81"/>
    </row>
    <row r="608" spans="2:6" ht="12.75">
      <c r="B608" s="208"/>
      <c r="D608" s="209"/>
      <c r="F608" s="81"/>
    </row>
    <row r="609" spans="2:6" ht="12.75">
      <c r="B609" s="208"/>
      <c r="D609" s="209"/>
      <c r="F609" s="81"/>
    </row>
    <row r="610" spans="2:6" ht="12.75">
      <c r="B610" s="208"/>
      <c r="D610" s="209"/>
      <c r="F610" s="81"/>
    </row>
    <row r="611" spans="2:6" ht="12.75">
      <c r="B611" s="208"/>
      <c r="D611" s="209"/>
      <c r="F611" s="81"/>
    </row>
    <row r="612" spans="2:6" ht="12.75">
      <c r="B612" s="208"/>
      <c r="D612" s="209"/>
      <c r="F612" s="81"/>
    </row>
    <row r="613" spans="2:6" ht="12.75">
      <c r="B613" s="208"/>
      <c r="D613" s="209"/>
      <c r="F613" s="81"/>
    </row>
    <row r="614" spans="2:6" ht="12.75">
      <c r="B614" s="208"/>
      <c r="D614" s="209"/>
      <c r="F614" s="81"/>
    </row>
    <row r="615" spans="2:6" ht="12.75">
      <c r="B615" s="208"/>
      <c r="D615" s="209"/>
      <c r="F615" s="81"/>
    </row>
    <row r="616" spans="2:6" ht="12.75">
      <c r="B616" s="208"/>
      <c r="D616" s="209"/>
      <c r="F616" s="81"/>
    </row>
    <row r="617" spans="2:6" ht="12.75">
      <c r="B617" s="208"/>
      <c r="D617" s="209"/>
      <c r="F617" s="81"/>
    </row>
    <row r="618" spans="2:6" ht="12.75">
      <c r="B618" s="208"/>
      <c r="D618" s="209"/>
      <c r="F618" s="81"/>
    </row>
    <row r="619" spans="2:6" ht="12.75">
      <c r="B619" s="208"/>
      <c r="D619" s="209"/>
      <c r="F619" s="81"/>
    </row>
    <row r="620" spans="2:6" ht="12.75">
      <c r="B620" s="208"/>
      <c r="D620" s="209"/>
      <c r="F620" s="81"/>
    </row>
    <row r="621" spans="2:6" ht="12.75">
      <c r="B621" s="208"/>
      <c r="D621" s="209"/>
      <c r="F621" s="81"/>
    </row>
    <row r="622" spans="2:6" ht="12.75">
      <c r="B622" s="208"/>
      <c r="D622" s="209"/>
      <c r="F622" s="81"/>
    </row>
    <row r="623" spans="4:6" ht="12.75">
      <c r="D623" s="209"/>
      <c r="F623" s="81"/>
    </row>
    <row r="624" spans="2:8" ht="12.75">
      <c r="B624" s="232"/>
      <c r="F624" s="229"/>
      <c r="H624" s="181"/>
    </row>
    <row r="625" spans="2:8" ht="12.75">
      <c r="B625" s="232"/>
      <c r="D625" s="233"/>
      <c r="F625" s="183"/>
      <c r="H625" s="181"/>
    </row>
    <row r="626" spans="2:8" ht="12.75">
      <c r="B626" s="232"/>
      <c r="D626" s="233"/>
      <c r="F626" s="183"/>
      <c r="H626" s="181"/>
    </row>
    <row r="627" spans="2:6" ht="12.75">
      <c r="B627" s="208"/>
      <c r="D627" s="233"/>
      <c r="F627" s="80"/>
    </row>
    <row r="628" spans="4:6" ht="12.75">
      <c r="D628" s="209"/>
      <c r="F628" s="229"/>
    </row>
    <row r="629" ht="12.75">
      <c r="F629" s="80"/>
    </row>
    <row r="630" ht="12.75">
      <c r="F630" s="202"/>
    </row>
    <row r="631" ht="12.75">
      <c r="F631" s="108"/>
    </row>
    <row r="632" ht="12.75">
      <c r="F632" s="215"/>
    </row>
    <row r="633" ht="12.75">
      <c r="F633" s="215"/>
    </row>
    <row r="634" ht="12.75">
      <c r="F634" s="205"/>
    </row>
    <row r="635" ht="12.75">
      <c r="F635" s="109"/>
    </row>
    <row r="636" ht="12.75">
      <c r="F636" s="204"/>
    </row>
    <row r="637" ht="12.75">
      <c r="F637" s="205"/>
    </row>
    <row r="638" ht="12.75">
      <c r="F638" s="204"/>
    </row>
    <row r="639" ht="12.75">
      <c r="F639" s="81"/>
    </row>
    <row r="640" ht="12.75">
      <c r="F640" s="81"/>
    </row>
    <row r="641" ht="12.75">
      <c r="F641" s="109"/>
    </row>
    <row r="642" ht="12.75">
      <c r="F642" s="204"/>
    </row>
    <row r="643" ht="12.75">
      <c r="F643" s="81"/>
    </row>
    <row r="644" ht="12.75">
      <c r="F644" s="81"/>
    </row>
    <row r="645" ht="12.75">
      <c r="F645" s="201"/>
    </row>
    <row r="646" ht="12.75">
      <c r="F646" s="203"/>
    </row>
    <row r="647" ht="12.75">
      <c r="F647" s="80"/>
    </row>
    <row r="648" ht="12.75">
      <c r="F648" s="203"/>
    </row>
    <row r="649" ht="12.75">
      <c r="F649" s="80"/>
    </row>
    <row r="650" ht="12.75">
      <c r="F650" s="80"/>
    </row>
    <row r="651" ht="12.75">
      <c r="F651" s="197"/>
    </row>
    <row r="652" ht="12.75">
      <c r="F652" s="197"/>
    </row>
    <row r="653" ht="12.75">
      <c r="F653" s="205"/>
    </row>
    <row r="654" ht="12.75">
      <c r="F654" s="202"/>
    </row>
    <row r="655" spans="2:6" ht="12.75">
      <c r="B655" s="208"/>
      <c r="F655" s="108"/>
    </row>
    <row r="656" spans="2:6" ht="12.75">
      <c r="B656" s="208"/>
      <c r="D656" s="209"/>
      <c r="F656" s="99"/>
    </row>
    <row r="657" spans="2:6" ht="12.75">
      <c r="B657" s="208"/>
      <c r="D657" s="209"/>
      <c r="F657" s="183"/>
    </row>
    <row r="658" spans="2:6" ht="12.75">
      <c r="B658" s="208"/>
      <c r="D658" s="209"/>
      <c r="F658" s="215"/>
    </row>
    <row r="659" spans="2:6" ht="12.75">
      <c r="B659" s="208"/>
      <c r="D659" s="209"/>
      <c r="F659" s="183"/>
    </row>
    <row r="660" spans="2:6" ht="12.75">
      <c r="B660" s="208"/>
      <c r="D660" s="209"/>
      <c r="F660" s="229"/>
    </row>
    <row r="661" spans="2:7" ht="12.75">
      <c r="B661" s="208"/>
      <c r="D661" s="209"/>
      <c r="F661" s="215"/>
      <c r="G661" s="81"/>
    </row>
    <row r="662" spans="2:7" ht="12.75">
      <c r="B662" s="208"/>
      <c r="D662" s="209"/>
      <c r="F662" s="81"/>
      <c r="G662" s="81"/>
    </row>
    <row r="663" spans="2:7" ht="12.75">
      <c r="B663" s="208"/>
      <c r="D663" s="209"/>
      <c r="F663" s="205"/>
      <c r="G663" s="81"/>
    </row>
    <row r="664" spans="2:7" ht="12.75">
      <c r="B664" s="208"/>
      <c r="D664" s="209"/>
      <c r="F664" s="109"/>
      <c r="G664" s="81"/>
    </row>
    <row r="665" spans="2:7" ht="12.75">
      <c r="B665" s="208"/>
      <c r="D665" s="209"/>
      <c r="F665" s="204"/>
      <c r="G665" s="81"/>
    </row>
    <row r="666" spans="2:7" ht="12.75">
      <c r="B666" s="208"/>
      <c r="D666" s="209"/>
      <c r="F666" s="205"/>
      <c r="G666" s="81"/>
    </row>
    <row r="667" spans="2:7" ht="12.75">
      <c r="B667" s="208"/>
      <c r="D667" s="209"/>
      <c r="F667" s="205"/>
      <c r="G667" s="81"/>
    </row>
    <row r="668" spans="2:7" ht="12.75">
      <c r="B668" s="208"/>
      <c r="D668" s="209"/>
      <c r="F668" s="109"/>
      <c r="G668" s="81"/>
    </row>
    <row r="669" spans="2:7" ht="12.75">
      <c r="B669" s="208"/>
      <c r="D669" s="209"/>
      <c r="F669" s="205"/>
      <c r="G669" s="81"/>
    </row>
    <row r="670" spans="2:7" ht="12.75">
      <c r="B670" s="208"/>
      <c r="D670" s="209"/>
      <c r="F670" s="205"/>
      <c r="G670" s="81"/>
    </row>
    <row r="671" spans="2:8" ht="12.75">
      <c r="B671" s="208"/>
      <c r="D671" s="209"/>
      <c r="F671" s="205"/>
      <c r="G671" s="81"/>
      <c r="H671" s="81"/>
    </row>
    <row r="672" spans="2:8" ht="12.75">
      <c r="B672" s="208"/>
      <c r="D672" s="209"/>
      <c r="F672" s="80"/>
      <c r="H672" s="81"/>
    </row>
    <row r="673" spans="2:8" ht="12.75">
      <c r="B673" s="208"/>
      <c r="D673" s="209"/>
      <c r="F673" s="80"/>
      <c r="H673" s="81"/>
    </row>
    <row r="674" spans="2:8" ht="12.75">
      <c r="B674" s="208"/>
      <c r="D674" s="209"/>
      <c r="F674" s="80"/>
      <c r="H674" s="81"/>
    </row>
    <row r="675" spans="2:8" ht="12.75">
      <c r="B675" s="208"/>
      <c r="D675" s="209"/>
      <c r="F675" s="80"/>
      <c r="H675" s="81"/>
    </row>
    <row r="676" spans="2:8" ht="12.75">
      <c r="B676" s="208"/>
      <c r="D676" s="209"/>
      <c r="F676" s="80"/>
      <c r="H676" s="81"/>
    </row>
    <row r="677" spans="2:8" ht="12.75">
      <c r="B677" s="208"/>
      <c r="D677" s="209"/>
      <c r="F677" s="80"/>
      <c r="H677" s="81"/>
    </row>
    <row r="678" spans="2:6" ht="12.75">
      <c r="B678" s="208"/>
      <c r="D678" s="209"/>
      <c r="F678" s="80"/>
    </row>
    <row r="679" spans="2:6" ht="12.75">
      <c r="B679" s="208"/>
      <c r="D679" s="209"/>
      <c r="F679" s="81"/>
    </row>
    <row r="680" spans="2:6" ht="12.75">
      <c r="B680" s="208"/>
      <c r="D680" s="209"/>
      <c r="F680" s="80"/>
    </row>
    <row r="681" spans="4:6" ht="12.75">
      <c r="D681" s="209"/>
      <c r="F681" s="203"/>
    </row>
    <row r="682" ht="12.75">
      <c r="F682" s="202"/>
    </row>
    <row r="683" ht="12.75">
      <c r="F683" s="108"/>
    </row>
    <row r="684" ht="12.75">
      <c r="F684" s="205"/>
    </row>
    <row r="685" ht="12.75">
      <c r="F685" s="202"/>
    </row>
    <row r="686" ht="12.75">
      <c r="F686" s="234"/>
    </row>
    <row r="687" ht="12.75">
      <c r="F687" s="201"/>
    </row>
    <row r="688" ht="12.75">
      <c r="F688" s="80"/>
    </row>
    <row r="689" ht="12.75">
      <c r="F689" s="235"/>
    </row>
    <row r="690" ht="12.75">
      <c r="F690" s="109"/>
    </row>
    <row r="691" ht="12.75">
      <c r="F691" s="198"/>
    </row>
    <row r="692" ht="12.75">
      <c r="F692" s="205"/>
    </row>
    <row r="693" spans="2:8" ht="12.75">
      <c r="B693" s="232"/>
      <c r="F693" s="205"/>
      <c r="H693" s="181"/>
    </row>
    <row r="694" spans="2:8" ht="12.75">
      <c r="B694" s="232"/>
      <c r="D694" s="233"/>
      <c r="F694" s="81"/>
      <c r="H694" s="181"/>
    </row>
    <row r="695" spans="2:8" ht="12.75">
      <c r="B695" s="232"/>
      <c r="D695" s="233"/>
      <c r="F695" s="81"/>
      <c r="H695" s="181"/>
    </row>
    <row r="696" spans="2:8" ht="12.75">
      <c r="B696" s="232"/>
      <c r="D696" s="233"/>
      <c r="F696" s="81"/>
      <c r="H696" s="181"/>
    </row>
    <row r="697" spans="2:8" ht="12.75">
      <c r="B697" s="232"/>
      <c r="D697" s="233"/>
      <c r="F697" s="81"/>
      <c r="H697" s="181"/>
    </row>
    <row r="698" spans="2:8" ht="12.75">
      <c r="B698" s="232"/>
      <c r="D698" s="233"/>
      <c r="F698" s="81"/>
      <c r="H698" s="181"/>
    </row>
    <row r="699" spans="2:8" ht="12.75">
      <c r="B699" s="232"/>
      <c r="D699" s="233"/>
      <c r="F699" s="81"/>
      <c r="H699" s="181"/>
    </row>
    <row r="700" spans="2:8" ht="12.75">
      <c r="B700" s="232"/>
      <c r="D700" s="233"/>
      <c r="F700" s="81"/>
      <c r="H700" s="181"/>
    </row>
    <row r="701" spans="2:8" ht="12.75">
      <c r="B701" s="232"/>
      <c r="D701" s="233"/>
      <c r="F701" s="81"/>
      <c r="H701" s="181"/>
    </row>
    <row r="702" spans="2:8" ht="12.75">
      <c r="B702" s="232"/>
      <c r="D702" s="233"/>
      <c r="F702" s="81"/>
      <c r="H702" s="181"/>
    </row>
    <row r="703" spans="2:8" ht="12.75">
      <c r="B703" s="232"/>
      <c r="D703" s="233"/>
      <c r="F703" s="81"/>
      <c r="H703" s="181"/>
    </row>
    <row r="704" spans="2:8" ht="12.75">
      <c r="B704" s="232"/>
      <c r="D704" s="233"/>
      <c r="F704" s="81"/>
      <c r="H704" s="181"/>
    </row>
    <row r="705" spans="2:8" ht="12.75">
      <c r="B705" s="232"/>
      <c r="D705" s="233"/>
      <c r="F705" s="81"/>
      <c r="H705" s="181"/>
    </row>
    <row r="706" spans="2:8" ht="12.75">
      <c r="B706" s="232"/>
      <c r="D706" s="233"/>
      <c r="F706" s="81"/>
      <c r="H706" s="181"/>
    </row>
    <row r="707" spans="2:8" ht="12.75">
      <c r="B707" s="232"/>
      <c r="D707" s="233"/>
      <c r="F707" s="81"/>
      <c r="H707" s="181"/>
    </row>
    <row r="708" spans="2:8" ht="12.75">
      <c r="B708" s="232"/>
      <c r="D708" s="233"/>
      <c r="F708" s="81"/>
      <c r="H708" s="181"/>
    </row>
    <row r="709" spans="2:8" ht="12.75">
      <c r="B709" s="232"/>
      <c r="D709" s="233"/>
      <c r="F709" s="81"/>
      <c r="H709" s="181"/>
    </row>
    <row r="710" spans="2:8" ht="12.75">
      <c r="B710" s="232"/>
      <c r="D710" s="233"/>
      <c r="F710" s="81"/>
      <c r="H710" s="181"/>
    </row>
    <row r="711" spans="2:8" ht="12.75">
      <c r="B711" s="232"/>
      <c r="D711" s="233"/>
      <c r="F711" s="81"/>
      <c r="H711" s="181"/>
    </row>
    <row r="712" spans="2:8" ht="12.75">
      <c r="B712" s="232"/>
      <c r="D712" s="233"/>
      <c r="F712" s="81"/>
      <c r="H712" s="181"/>
    </row>
    <row r="713" spans="2:8" ht="12.75">
      <c r="B713" s="232"/>
      <c r="D713" s="233"/>
      <c r="F713" s="81"/>
      <c r="H713" s="181"/>
    </row>
    <row r="714" spans="2:8" ht="12.75">
      <c r="B714" s="230"/>
      <c r="D714" s="233"/>
      <c r="F714" s="81"/>
      <c r="H714" s="181"/>
    </row>
    <row r="715" spans="2:8" ht="12.75">
      <c r="B715" s="230"/>
      <c r="D715" s="231"/>
      <c r="F715" s="229"/>
      <c r="H715" s="181"/>
    </row>
    <row r="716" spans="2:8" ht="12.75">
      <c r="B716" s="230"/>
      <c r="D716" s="231"/>
      <c r="F716" s="182"/>
      <c r="G716" s="181"/>
      <c r="H716" s="181"/>
    </row>
    <row r="717" spans="2:8" ht="12.75">
      <c r="B717" s="230"/>
      <c r="D717" s="231"/>
      <c r="F717" s="183"/>
      <c r="G717" s="181"/>
      <c r="H717" s="181"/>
    </row>
    <row r="718" spans="2:8" ht="12.75">
      <c r="B718" s="230"/>
      <c r="D718" s="231"/>
      <c r="F718" s="183"/>
      <c r="G718" s="181"/>
      <c r="H718" s="181"/>
    </row>
    <row r="719" spans="2:8" ht="12.75">
      <c r="B719" s="230"/>
      <c r="D719" s="231"/>
      <c r="F719" s="81"/>
      <c r="G719" s="181"/>
      <c r="H719" s="181"/>
    </row>
    <row r="720" spans="4:7" ht="12.75">
      <c r="D720" s="231"/>
      <c r="F720" s="81"/>
      <c r="G720" s="181"/>
    </row>
    <row r="721" ht="12.75">
      <c r="F721" s="229"/>
    </row>
    <row r="722" ht="12.75">
      <c r="F722" s="229"/>
    </row>
    <row r="723" ht="12.75">
      <c r="F723" s="229"/>
    </row>
    <row r="724" ht="12.75">
      <c r="F724" s="229"/>
    </row>
    <row r="725" ht="12.75">
      <c r="F725" s="229"/>
    </row>
    <row r="726" ht="12.75">
      <c r="F726" s="229"/>
    </row>
    <row r="727" ht="12.75">
      <c r="F727" s="229"/>
    </row>
    <row r="728" ht="12.75">
      <c r="F728" s="229"/>
    </row>
    <row r="729" ht="12.75">
      <c r="F729" s="229"/>
    </row>
    <row r="730" spans="6:7" ht="12.75">
      <c r="F730" s="182"/>
      <c r="G730" s="181"/>
    </row>
    <row r="731" spans="6:7" ht="12.75">
      <c r="F731" s="183"/>
      <c r="G731" s="181"/>
    </row>
    <row r="732" spans="6:7" ht="12.75">
      <c r="F732" s="183"/>
      <c r="G732" s="181"/>
    </row>
    <row r="733" spans="6:7" ht="12.75">
      <c r="F733" s="81"/>
      <c r="G733" s="181"/>
    </row>
    <row r="734" spans="6:7" ht="12.75">
      <c r="F734" s="81"/>
      <c r="G734" s="181"/>
    </row>
  </sheetData>
  <sheetProtection/>
  <autoFilter ref="A1:L745"/>
  <mergeCells count="10">
    <mergeCell ref="A1:A2"/>
    <mergeCell ref="B1:B2"/>
    <mergeCell ref="C1:C2"/>
    <mergeCell ref="D1:D2"/>
    <mergeCell ref="L1:L2"/>
    <mergeCell ref="K1:K2"/>
    <mergeCell ref="E1:E2"/>
    <mergeCell ref="F1:F2"/>
    <mergeCell ref="I1:I2"/>
    <mergeCell ref="J1:J2"/>
  </mergeCells>
  <printOptions/>
  <pageMargins left="0.7874015748031497" right="0.7874015748031497" top="0.984251968503937" bottom="0.984251968503937" header="0.5118110236220472" footer="0.5118110236220472"/>
  <pageSetup fitToHeight="20" fitToWidth="1" horizontalDpi="300" verticalDpi="300" orientation="landscape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63">
    <pageSetUpPr fitToPage="1"/>
  </sheetPr>
  <dimension ref="A1:H15"/>
  <sheetViews>
    <sheetView zoomScalePageLayoutView="0" workbookViewId="0" topLeftCell="A1">
      <pane ySplit="1" topLeftCell="A2" activePane="bottomLeft" state="frozen"/>
      <selection pane="topLeft" activeCell="A5" sqref="A5"/>
      <selection pane="bottomLeft" activeCell="D12" sqref="D12"/>
    </sheetView>
  </sheetViews>
  <sheetFormatPr defaultColWidth="9.140625" defaultRowHeight="12.75"/>
  <cols>
    <col min="1" max="1" width="9.140625" style="83" customWidth="1"/>
    <col min="2" max="2" width="59.28125" style="84" customWidth="1"/>
    <col min="3" max="3" width="14.8515625" style="83" customWidth="1"/>
    <col min="4" max="4" width="14.140625" style="83" customWidth="1"/>
    <col min="5" max="5" width="14.8515625" style="83" customWidth="1"/>
    <col min="6" max="6" width="16.7109375" style="83" customWidth="1"/>
    <col min="7" max="7" width="13.7109375" style="83" customWidth="1"/>
    <col min="8" max="8" width="12.8515625" style="83" customWidth="1"/>
    <col min="9" max="16384" width="9.140625" style="83" customWidth="1"/>
  </cols>
  <sheetData>
    <row r="1" spans="1:8" ht="25.5" customHeight="1">
      <c r="A1" s="1918" t="s">
        <v>523</v>
      </c>
      <c r="B1" s="1914" t="s">
        <v>140</v>
      </c>
      <c r="C1" s="1862" t="s">
        <v>1065</v>
      </c>
      <c r="D1" s="1859" t="s">
        <v>1050</v>
      </c>
      <c r="E1" s="1860"/>
      <c r="F1" s="1860"/>
      <c r="G1" s="1861"/>
      <c r="H1" s="1864" t="s">
        <v>1051</v>
      </c>
    </row>
    <row r="2" spans="1:8" ht="39" thickBot="1">
      <c r="A2" s="1919"/>
      <c r="B2" s="1915"/>
      <c r="C2" s="1863"/>
      <c r="D2" s="1122" t="s">
        <v>287</v>
      </c>
      <c r="E2" s="1122" t="s">
        <v>795</v>
      </c>
      <c r="F2" s="1122" t="s">
        <v>796</v>
      </c>
      <c r="G2" s="1122" t="s">
        <v>65</v>
      </c>
      <c r="H2" s="1865"/>
    </row>
    <row r="3" spans="1:8" ht="18" customHeight="1">
      <c r="A3" s="495" t="s">
        <v>558</v>
      </c>
      <c r="B3" s="496" t="s">
        <v>559</v>
      </c>
      <c r="C3" s="520">
        <f>SUM(C4:C8)</f>
        <v>26445</v>
      </c>
      <c r="D3" s="520">
        <f>SUM(D4:D8)</f>
        <v>8000000</v>
      </c>
      <c r="E3" s="520">
        <f>SUM(E4:E8)</f>
        <v>0</v>
      </c>
      <c r="F3" s="520">
        <f>SUM(F4:F8)</f>
        <v>0</v>
      </c>
      <c r="G3" s="520">
        <f aca="true" t="shared" si="0" ref="G3:G15">SUM(D3:F3)</f>
        <v>8000000</v>
      </c>
      <c r="H3" s="521">
        <f>+G3/(C3*1000)</f>
        <v>0.3</v>
      </c>
    </row>
    <row r="4" spans="1:8" ht="18" customHeight="1">
      <c r="A4" s="494"/>
      <c r="B4" s="497" t="s">
        <v>1098</v>
      </c>
      <c r="C4" s="412">
        <v>0</v>
      </c>
      <c r="D4" s="412">
        <v>5000000</v>
      </c>
      <c r="E4" s="412"/>
      <c r="F4" s="412"/>
      <c r="G4" s="412">
        <f t="shared" si="0"/>
        <v>5000000</v>
      </c>
      <c r="H4" s="518"/>
    </row>
    <row r="5" spans="1:8" ht="18" customHeight="1">
      <c r="A5" s="494"/>
      <c r="B5" s="497" t="s">
        <v>947</v>
      </c>
      <c r="C5" s="412">
        <v>20000</v>
      </c>
      <c r="D5" s="412"/>
      <c r="E5" s="412"/>
      <c r="F5" s="412"/>
      <c r="G5" s="412">
        <f t="shared" si="0"/>
        <v>0</v>
      </c>
      <c r="H5" s="518">
        <f aca="true" t="shared" si="1" ref="H5:H15">+G5/(C5*1000)</f>
        <v>0</v>
      </c>
    </row>
    <row r="6" spans="1:8" ht="18" customHeight="1">
      <c r="A6" s="494"/>
      <c r="B6" s="497" t="s">
        <v>946</v>
      </c>
      <c r="C6" s="412">
        <v>1060</v>
      </c>
      <c r="D6" s="412"/>
      <c r="E6" s="412"/>
      <c r="F6" s="412"/>
      <c r="G6" s="412">
        <f t="shared" si="0"/>
        <v>0</v>
      </c>
      <c r="H6" s="518">
        <f t="shared" si="1"/>
        <v>0</v>
      </c>
    </row>
    <row r="7" spans="1:8" ht="18" customHeight="1">
      <c r="A7" s="494"/>
      <c r="B7" s="497" t="s">
        <v>1097</v>
      </c>
      <c r="C7" s="412">
        <v>3885</v>
      </c>
      <c r="D7" s="412">
        <v>3000000</v>
      </c>
      <c r="E7" s="412"/>
      <c r="F7" s="412"/>
      <c r="G7" s="412">
        <f t="shared" si="0"/>
        <v>3000000</v>
      </c>
      <c r="H7" s="518">
        <f t="shared" si="1"/>
        <v>0.77</v>
      </c>
    </row>
    <row r="8" spans="1:8" ht="18" customHeight="1">
      <c r="A8" s="494"/>
      <c r="B8" s="497" t="s">
        <v>943</v>
      </c>
      <c r="C8" s="412">
        <v>1500</v>
      </c>
      <c r="D8" s="412"/>
      <c r="E8" s="412"/>
      <c r="F8" s="412"/>
      <c r="G8" s="412">
        <f t="shared" si="0"/>
        <v>0</v>
      </c>
      <c r="H8" s="518">
        <f t="shared" si="1"/>
        <v>0</v>
      </c>
    </row>
    <row r="9" spans="1:8" ht="18" customHeight="1">
      <c r="A9" s="492" t="s">
        <v>560</v>
      </c>
      <c r="B9" s="499" t="s">
        <v>561</v>
      </c>
      <c r="C9" s="502">
        <f>+C10</f>
        <v>4000</v>
      </c>
      <c r="D9" s="502">
        <f>+D10</f>
        <v>2000000</v>
      </c>
      <c r="E9" s="502">
        <f>+E10</f>
        <v>0</v>
      </c>
      <c r="F9" s="502">
        <f>+F10</f>
        <v>0</v>
      </c>
      <c r="G9" s="502">
        <f t="shared" si="0"/>
        <v>2000000</v>
      </c>
      <c r="H9" s="526">
        <f t="shared" si="1"/>
        <v>0.5</v>
      </c>
    </row>
    <row r="10" spans="1:8" ht="18" customHeight="1">
      <c r="A10" s="494"/>
      <c r="B10" s="497" t="s">
        <v>939</v>
      </c>
      <c r="C10" s="412">
        <v>4000</v>
      </c>
      <c r="D10" s="412">
        <v>2000000</v>
      </c>
      <c r="E10" s="412"/>
      <c r="F10" s="412"/>
      <c r="G10" s="412">
        <f t="shared" si="0"/>
        <v>2000000</v>
      </c>
      <c r="H10" s="518">
        <f t="shared" si="1"/>
        <v>0.5</v>
      </c>
    </row>
    <row r="11" spans="1:8" ht="18" customHeight="1">
      <c r="A11" s="492" t="s">
        <v>562</v>
      </c>
      <c r="B11" s="499" t="s">
        <v>563</v>
      </c>
      <c r="C11" s="502">
        <f>SUM(C12:C13)</f>
        <v>3000</v>
      </c>
      <c r="D11" s="502">
        <f>SUM(D12:D13)</f>
        <v>4000000</v>
      </c>
      <c r="E11" s="502">
        <f>SUM(E12:E13)</f>
        <v>0</v>
      </c>
      <c r="F11" s="502">
        <f>SUM(F12:F13)</f>
        <v>0</v>
      </c>
      <c r="G11" s="502">
        <f t="shared" si="0"/>
        <v>4000000</v>
      </c>
      <c r="H11" s="1018">
        <f t="shared" si="1"/>
        <v>1.33</v>
      </c>
    </row>
    <row r="12" spans="1:8" ht="18" customHeight="1">
      <c r="A12" s="494"/>
      <c r="B12" s="497" t="s">
        <v>566</v>
      </c>
      <c r="C12" s="412">
        <v>1000</v>
      </c>
      <c r="D12" s="412">
        <v>1500000</v>
      </c>
      <c r="E12" s="413"/>
      <c r="F12" s="413"/>
      <c r="G12" s="412">
        <f t="shared" si="0"/>
        <v>1500000</v>
      </c>
      <c r="H12" s="518">
        <f t="shared" si="1"/>
        <v>1.5</v>
      </c>
    </row>
    <row r="13" spans="1:8" ht="18" customHeight="1">
      <c r="A13" s="494"/>
      <c r="B13" s="497" t="s">
        <v>568</v>
      </c>
      <c r="C13" s="412">
        <v>2000</v>
      </c>
      <c r="D13" s="412">
        <v>2500000</v>
      </c>
      <c r="E13" s="413"/>
      <c r="F13" s="413"/>
      <c r="G13" s="412">
        <f t="shared" si="0"/>
        <v>2500000</v>
      </c>
      <c r="H13" s="518">
        <f t="shared" si="1"/>
        <v>1.25</v>
      </c>
    </row>
    <row r="14" spans="1:8" ht="18" customHeight="1" thickBot="1">
      <c r="A14" s="517" t="s">
        <v>564</v>
      </c>
      <c r="B14" s="519" t="s">
        <v>565</v>
      </c>
      <c r="C14" s="527">
        <f>(C3+C9+C11)*27%</f>
        <v>9030</v>
      </c>
      <c r="D14" s="527">
        <f>(D3+D9+D11)*27%</f>
        <v>3780000</v>
      </c>
      <c r="E14" s="527">
        <f>(E3+E9+E11)*27%</f>
        <v>0</v>
      </c>
      <c r="F14" s="527">
        <f>(F3+F9+F11)*27%</f>
        <v>0</v>
      </c>
      <c r="G14" s="527">
        <f t="shared" si="0"/>
        <v>3780000</v>
      </c>
      <c r="H14" s="528">
        <f t="shared" si="1"/>
        <v>0.42</v>
      </c>
    </row>
    <row r="15" spans="1:8" s="503" customFormat="1" ht="35.25" customHeight="1" thickBot="1">
      <c r="A15" s="522"/>
      <c r="B15" s="523" t="s">
        <v>567</v>
      </c>
      <c r="C15" s="523">
        <f>C3+C9+C11+C14</f>
        <v>42475</v>
      </c>
      <c r="D15" s="523">
        <f>D3+D9+D11+D14</f>
        <v>17780000</v>
      </c>
      <c r="E15" s="523">
        <f>E3+E9+E11+E14</f>
        <v>0</v>
      </c>
      <c r="F15" s="523">
        <f>F3+F9+F11+F14</f>
        <v>0</v>
      </c>
      <c r="G15" s="523">
        <f t="shared" si="0"/>
        <v>17780000</v>
      </c>
      <c r="H15" s="524">
        <f t="shared" si="1"/>
        <v>0.42</v>
      </c>
    </row>
  </sheetData>
  <sheetProtection/>
  <mergeCells count="5">
    <mergeCell ref="H1:H2"/>
    <mergeCell ref="A1:A2"/>
    <mergeCell ref="D1:G1"/>
    <mergeCell ref="B1:B2"/>
    <mergeCell ref="C1:C2"/>
  </mergeCells>
  <printOptions gridLines="1" horizontalCentered="1"/>
  <pageMargins left="0.5905511811023623" right="0.5905511811023623" top="0.984251968503937" bottom="0.5905511811023623" header="0.3937007874015748" footer="0.3937007874015748"/>
  <pageSetup fitToHeight="2" fitToWidth="1" horizontalDpi="600" verticalDpi="600" orientation="landscape" paperSize="9" scale="88" r:id="rId1"/>
  <headerFooter alignWithMargins="0">
    <oddHeader>&amp;L
     &amp;"MS Sans Serif,Félkövér" &amp;C&amp;"Times New Roman,Normál"
BUDAPEST FŐVÁROS XX. KERÜLET PESTERZSÉBETI POLGÁRMESTERI HIVATAL 2017. ÉVI FELÚJÍTÁSI  KIADÁSAI &amp;"Times New Roman,Félkövér"
&amp;R&amp;"Times New Roman,Normál"3.6. sz.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48">
    <pageSetUpPr fitToPage="1"/>
  </sheetPr>
  <dimension ref="A1:S29"/>
  <sheetViews>
    <sheetView zoomScalePageLayoutView="0" workbookViewId="0" topLeftCell="A10">
      <selection activeCell="Q26" sqref="Q26"/>
    </sheetView>
  </sheetViews>
  <sheetFormatPr defaultColWidth="8.8515625" defaultRowHeight="12.75"/>
  <cols>
    <col min="1" max="1" width="8.8515625" style="170" customWidth="1"/>
    <col min="2" max="2" width="53.28125" style="169" customWidth="1"/>
    <col min="3" max="3" width="12.28125" style="169" bestFit="1" customWidth="1"/>
    <col min="4" max="14" width="10.8515625" style="169" bestFit="1" customWidth="1"/>
    <col min="15" max="15" width="12.28125" style="169" bestFit="1" customWidth="1"/>
    <col min="16" max="16" width="10.140625" style="169" customWidth="1"/>
    <col min="17" max="17" width="8.8515625" style="169" customWidth="1"/>
    <col min="18" max="18" width="12.7109375" style="169" bestFit="1" customWidth="1"/>
    <col min="19" max="19" width="9.421875" style="169" bestFit="1" customWidth="1"/>
    <col min="20" max="30" width="9.00390625" style="170" bestFit="1" customWidth="1"/>
    <col min="31" max="16384" width="8.8515625" style="170" customWidth="1"/>
  </cols>
  <sheetData>
    <row r="1" spans="1:16" ht="16.5" customHeight="1">
      <c r="A1" s="1901" t="s">
        <v>569</v>
      </c>
      <c r="B1" s="1896" t="s">
        <v>425</v>
      </c>
      <c r="C1" s="1735"/>
      <c r="D1" s="881" t="s">
        <v>779</v>
      </c>
      <c r="E1" s="881" t="s">
        <v>779</v>
      </c>
      <c r="F1" s="881" t="s">
        <v>779</v>
      </c>
      <c r="G1" s="881" t="s">
        <v>779</v>
      </c>
      <c r="H1" s="881" t="s">
        <v>779</v>
      </c>
      <c r="I1" s="881" t="s">
        <v>779</v>
      </c>
      <c r="J1" s="881" t="s">
        <v>779</v>
      </c>
      <c r="K1" s="881" t="s">
        <v>779</v>
      </c>
      <c r="L1" s="881" t="s">
        <v>779</v>
      </c>
      <c r="M1" s="881" t="s">
        <v>779</v>
      </c>
      <c r="N1" s="881" t="s">
        <v>779</v>
      </c>
      <c r="O1" s="1651" t="s">
        <v>779</v>
      </c>
      <c r="P1" s="168"/>
    </row>
    <row r="2" spans="1:16" ht="13.5" thickBot="1">
      <c r="A2" s="1902"/>
      <c r="B2" s="1897"/>
      <c r="C2" s="882" t="s">
        <v>777</v>
      </c>
      <c r="D2" s="882" t="s">
        <v>42</v>
      </c>
      <c r="E2" s="882" t="s">
        <v>43</v>
      </c>
      <c r="F2" s="882" t="s">
        <v>700</v>
      </c>
      <c r="G2" s="882" t="s">
        <v>701</v>
      </c>
      <c r="H2" s="882" t="s">
        <v>702</v>
      </c>
      <c r="I2" s="882" t="s">
        <v>703</v>
      </c>
      <c r="J2" s="882" t="s">
        <v>748</v>
      </c>
      <c r="K2" s="882" t="s">
        <v>705</v>
      </c>
      <c r="L2" s="882" t="s">
        <v>706</v>
      </c>
      <c r="M2" s="882" t="s">
        <v>707</v>
      </c>
      <c r="N2" s="882" t="s">
        <v>708</v>
      </c>
      <c r="O2" s="883" t="s">
        <v>709</v>
      </c>
      <c r="P2" s="168"/>
    </row>
    <row r="3" spans="1:16" ht="24.75" customHeight="1">
      <c r="A3" s="548" t="s">
        <v>185</v>
      </c>
      <c r="B3" s="574" t="s">
        <v>186</v>
      </c>
      <c r="C3" s="626">
        <f aca="true" t="shared" si="0" ref="C3:C11">SUM(D3:O3)</f>
        <v>0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8"/>
      <c r="P3" s="171"/>
    </row>
    <row r="4" spans="1:16" ht="24.75" customHeight="1">
      <c r="A4" s="549" t="s">
        <v>187</v>
      </c>
      <c r="B4" s="575" t="s">
        <v>145</v>
      </c>
      <c r="C4" s="466">
        <f t="shared" si="0"/>
        <v>0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  <c r="P4" s="171"/>
    </row>
    <row r="5" spans="1:19" s="173" customFormat="1" ht="24.75" customHeight="1">
      <c r="A5" s="549" t="s">
        <v>193</v>
      </c>
      <c r="B5" s="575" t="s">
        <v>148</v>
      </c>
      <c r="C5" s="466">
        <f t="shared" si="0"/>
        <v>0</v>
      </c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0"/>
      <c r="P5" s="171"/>
      <c r="Q5" s="169"/>
      <c r="R5" s="172"/>
      <c r="S5" s="172"/>
    </row>
    <row r="6" spans="1:19" s="173" customFormat="1" ht="24.75" customHeight="1">
      <c r="A6" s="549" t="s">
        <v>469</v>
      </c>
      <c r="B6" s="575" t="s">
        <v>664</v>
      </c>
      <c r="C6" s="466">
        <f t="shared" si="0"/>
        <v>6794500</v>
      </c>
      <c r="D6" s="359">
        <v>566200</v>
      </c>
      <c r="E6" s="359">
        <v>566200</v>
      </c>
      <c r="F6" s="359">
        <v>566200</v>
      </c>
      <c r="G6" s="359">
        <v>566200</v>
      </c>
      <c r="H6" s="359">
        <v>566200</v>
      </c>
      <c r="I6" s="359">
        <v>566200</v>
      </c>
      <c r="J6" s="359">
        <v>566200</v>
      </c>
      <c r="K6" s="359">
        <v>566200</v>
      </c>
      <c r="L6" s="359">
        <v>566200</v>
      </c>
      <c r="M6" s="359">
        <v>566200</v>
      </c>
      <c r="N6" s="359">
        <v>566200</v>
      </c>
      <c r="O6" s="360">
        <f>6794500-SUM(D6:N6)</f>
        <v>566300</v>
      </c>
      <c r="P6" s="171"/>
      <c r="Q6" s="169"/>
      <c r="R6" s="172"/>
      <c r="S6" s="172"/>
    </row>
    <row r="7" spans="1:16" ht="24.75" customHeight="1">
      <c r="A7" s="549" t="s">
        <v>486</v>
      </c>
      <c r="B7" s="575" t="s">
        <v>663</v>
      </c>
      <c r="C7" s="466">
        <f t="shared" si="0"/>
        <v>0</v>
      </c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60"/>
      <c r="P7" s="171"/>
    </row>
    <row r="8" spans="1:16" ht="24.75" customHeight="1">
      <c r="A8" s="549" t="s">
        <v>471</v>
      </c>
      <c r="B8" s="575" t="s">
        <v>475</v>
      </c>
      <c r="C8" s="466">
        <f t="shared" si="0"/>
        <v>0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60"/>
      <c r="P8" s="171"/>
    </row>
    <row r="9" spans="1:16" ht="24.75" customHeight="1">
      <c r="A9" s="549" t="s">
        <v>473</v>
      </c>
      <c r="B9" s="575" t="s">
        <v>474</v>
      </c>
      <c r="C9" s="466">
        <f t="shared" si="0"/>
        <v>0</v>
      </c>
      <c r="D9" s="627"/>
      <c r="E9" s="627"/>
      <c r="F9" s="627"/>
      <c r="G9" s="627"/>
      <c r="H9" s="627"/>
      <c r="I9" s="359"/>
      <c r="J9" s="359"/>
      <c r="K9" s="359"/>
      <c r="L9" s="359"/>
      <c r="M9" s="359"/>
      <c r="N9" s="359"/>
      <c r="O9" s="360"/>
      <c r="P9" s="171"/>
    </row>
    <row r="10" spans="1:16" ht="24.75" customHeight="1">
      <c r="A10" s="549" t="s">
        <v>476</v>
      </c>
      <c r="B10" s="628" t="s">
        <v>286</v>
      </c>
      <c r="C10" s="466">
        <f t="shared" si="0"/>
        <v>0</v>
      </c>
      <c r="D10" s="627"/>
      <c r="E10" s="627"/>
      <c r="F10" s="627"/>
      <c r="G10" s="627"/>
      <c r="H10" s="627"/>
      <c r="I10" s="359"/>
      <c r="J10" s="359"/>
      <c r="K10" s="359"/>
      <c r="L10" s="359"/>
      <c r="M10" s="359"/>
      <c r="N10" s="359"/>
      <c r="O10" s="360"/>
      <c r="P10" s="171"/>
    </row>
    <row r="11" spans="1:15" s="305" customFormat="1" ht="24.75" customHeight="1" thickBot="1">
      <c r="A11" s="552" t="s">
        <v>477</v>
      </c>
      <c r="B11" s="594" t="s">
        <v>478</v>
      </c>
      <c r="C11" s="738">
        <f t="shared" si="0"/>
        <v>1550856246</v>
      </c>
      <c r="D11" s="876">
        <f>+D29-D6</f>
        <v>134407383</v>
      </c>
      <c r="E11" s="876">
        <f aca="true" t="shared" si="1" ref="E11:N11">+E29-E6</f>
        <v>117131798</v>
      </c>
      <c r="F11" s="876">
        <f t="shared" si="1"/>
        <v>119231798</v>
      </c>
      <c r="G11" s="876">
        <f t="shared" si="1"/>
        <v>142131798</v>
      </c>
      <c r="H11" s="876">
        <f t="shared" si="1"/>
        <v>142131798</v>
      </c>
      <c r="I11" s="876">
        <f t="shared" si="1"/>
        <v>142131798</v>
      </c>
      <c r="J11" s="876">
        <f t="shared" si="1"/>
        <v>138131798</v>
      </c>
      <c r="K11" s="876">
        <f t="shared" si="1"/>
        <v>127631798</v>
      </c>
      <c r="L11" s="876">
        <f t="shared" si="1"/>
        <v>127631798</v>
      </c>
      <c r="M11" s="876">
        <f t="shared" si="1"/>
        <v>127631798</v>
      </c>
      <c r="N11" s="876">
        <f t="shared" si="1"/>
        <v>119231798</v>
      </c>
      <c r="O11" s="877">
        <f>1550856246-SUM(D11:N11)</f>
        <v>113430883</v>
      </c>
    </row>
    <row r="12" spans="1:16" ht="24.75" customHeight="1" thickBot="1">
      <c r="A12" s="630"/>
      <c r="B12" s="884" t="s">
        <v>412</v>
      </c>
      <c r="C12" s="174">
        <f>SUM(C3:C11)</f>
        <v>1557650746</v>
      </c>
      <c r="D12" s="174">
        <f aca="true" t="shared" si="2" ref="D12:O12">SUM(D3:D11)</f>
        <v>134973583</v>
      </c>
      <c r="E12" s="174">
        <f t="shared" si="2"/>
        <v>117697998</v>
      </c>
      <c r="F12" s="174">
        <f t="shared" si="2"/>
        <v>119797998</v>
      </c>
      <c r="G12" s="174">
        <f t="shared" si="2"/>
        <v>142697998</v>
      </c>
      <c r="H12" s="174">
        <f t="shared" si="2"/>
        <v>142697998</v>
      </c>
      <c r="I12" s="174">
        <f t="shared" si="2"/>
        <v>142697998</v>
      </c>
      <c r="J12" s="174">
        <f t="shared" si="2"/>
        <v>138697998</v>
      </c>
      <c r="K12" s="174">
        <f t="shared" si="2"/>
        <v>128197998</v>
      </c>
      <c r="L12" s="174">
        <f t="shared" si="2"/>
        <v>128197998</v>
      </c>
      <c r="M12" s="174">
        <f t="shared" si="2"/>
        <v>128197998</v>
      </c>
      <c r="N12" s="174">
        <f t="shared" si="2"/>
        <v>119797998</v>
      </c>
      <c r="O12" s="759">
        <f t="shared" si="2"/>
        <v>113997183</v>
      </c>
      <c r="P12" s="171"/>
    </row>
    <row r="13" spans="2:16" ht="12.75">
      <c r="B13" s="1898"/>
      <c r="C13" s="1898"/>
      <c r="D13" s="1898"/>
      <c r="E13" s="1898"/>
      <c r="F13" s="1898"/>
      <c r="G13" s="1898"/>
      <c r="H13" s="1898"/>
      <c r="I13" s="1898"/>
      <c r="J13" s="1898"/>
      <c r="K13" s="1898"/>
      <c r="L13" s="1898"/>
      <c r="M13" s="1898"/>
      <c r="N13" s="1898"/>
      <c r="O13" s="1898"/>
      <c r="P13" s="171"/>
    </row>
    <row r="14" spans="2:16" ht="13.5" thickBot="1">
      <c r="B14" s="1898"/>
      <c r="C14" s="1898"/>
      <c r="D14" s="1898"/>
      <c r="E14" s="1898"/>
      <c r="F14" s="1898"/>
      <c r="G14" s="1898"/>
      <c r="H14" s="1898"/>
      <c r="I14" s="1898"/>
      <c r="J14" s="1898"/>
      <c r="K14" s="1898"/>
      <c r="L14" s="1898"/>
      <c r="M14" s="1898"/>
      <c r="N14" s="1898"/>
      <c r="O14" s="1898"/>
      <c r="P14" s="171"/>
    </row>
    <row r="15" spans="1:16" ht="15" customHeight="1">
      <c r="A15" s="1901" t="s">
        <v>569</v>
      </c>
      <c r="B15" s="1899" t="s">
        <v>427</v>
      </c>
      <c r="C15" s="881" t="s">
        <v>779</v>
      </c>
      <c r="D15" s="881" t="s">
        <v>779</v>
      </c>
      <c r="E15" s="881" t="s">
        <v>779</v>
      </c>
      <c r="F15" s="881" t="s">
        <v>779</v>
      </c>
      <c r="G15" s="881" t="s">
        <v>779</v>
      </c>
      <c r="H15" s="881" t="s">
        <v>779</v>
      </c>
      <c r="I15" s="881" t="s">
        <v>779</v>
      </c>
      <c r="J15" s="881" t="s">
        <v>779</v>
      </c>
      <c r="K15" s="881" t="s">
        <v>779</v>
      </c>
      <c r="L15" s="881" t="s">
        <v>779</v>
      </c>
      <c r="M15" s="881" t="s">
        <v>779</v>
      </c>
      <c r="N15" s="881" t="s">
        <v>779</v>
      </c>
      <c r="O15" s="1651" t="s">
        <v>779</v>
      </c>
      <c r="P15" s="171"/>
    </row>
    <row r="16" spans="1:16" ht="13.5" thickBot="1">
      <c r="A16" s="1903"/>
      <c r="B16" s="1900"/>
      <c r="C16" s="873" t="s">
        <v>777</v>
      </c>
      <c r="D16" s="873" t="s">
        <v>42</v>
      </c>
      <c r="E16" s="873" t="s">
        <v>43</v>
      </c>
      <c r="F16" s="873" t="s">
        <v>700</v>
      </c>
      <c r="G16" s="873" t="s">
        <v>701</v>
      </c>
      <c r="H16" s="873" t="s">
        <v>702</v>
      </c>
      <c r="I16" s="873" t="s">
        <v>703</v>
      </c>
      <c r="J16" s="873" t="s">
        <v>748</v>
      </c>
      <c r="K16" s="873" t="s">
        <v>705</v>
      </c>
      <c r="L16" s="873" t="s">
        <v>706</v>
      </c>
      <c r="M16" s="873" t="s">
        <v>707</v>
      </c>
      <c r="N16" s="873" t="s">
        <v>708</v>
      </c>
      <c r="O16" s="874" t="s">
        <v>709</v>
      </c>
      <c r="P16" s="171"/>
    </row>
    <row r="17" spans="1:16" ht="24.75" customHeight="1">
      <c r="A17" s="548" t="s">
        <v>104</v>
      </c>
      <c r="B17" s="574" t="s">
        <v>105</v>
      </c>
      <c r="C17" s="689">
        <f aca="true" t="shared" si="3" ref="C17:C28">SUM(D17:O17)</f>
        <v>807575723</v>
      </c>
      <c r="D17" s="626">
        <f>309942+1099100+97084+150000+136650+159926+144000+45459+1435552+67416500</f>
        <v>70994213</v>
      </c>
      <c r="E17" s="626">
        <v>67416500</v>
      </c>
      <c r="F17" s="626">
        <v>67416500</v>
      </c>
      <c r="G17" s="626">
        <v>67416500</v>
      </c>
      <c r="H17" s="626">
        <v>67416500</v>
      </c>
      <c r="I17" s="626">
        <v>67416500</v>
      </c>
      <c r="J17" s="626">
        <v>67416500</v>
      </c>
      <c r="K17" s="626">
        <v>67416500</v>
      </c>
      <c r="L17" s="626">
        <v>67416500</v>
      </c>
      <c r="M17" s="626">
        <v>67416500</v>
      </c>
      <c r="N17" s="626">
        <v>67416500</v>
      </c>
      <c r="O17" s="436">
        <f>807575723-SUM(D17:N17)</f>
        <v>62416510</v>
      </c>
      <c r="P17" s="171"/>
    </row>
    <row r="18" spans="1:16" ht="24.75" customHeight="1">
      <c r="A18" s="549" t="s">
        <v>106</v>
      </c>
      <c r="B18" s="481" t="s">
        <v>107</v>
      </c>
      <c r="C18" s="465">
        <f>SUM(D18:O18)</f>
        <v>203209841</v>
      </c>
      <c r="D18" s="466">
        <f>12477591+723741+496540+15792600</f>
        <v>29490472</v>
      </c>
      <c r="E18" s="466">
        <v>15792600</v>
      </c>
      <c r="F18" s="466">
        <v>15792600</v>
      </c>
      <c r="G18" s="466">
        <v>15792600</v>
      </c>
      <c r="H18" s="466">
        <v>15792600</v>
      </c>
      <c r="I18" s="466">
        <v>15792600</v>
      </c>
      <c r="J18" s="466">
        <v>15792600</v>
      </c>
      <c r="K18" s="466">
        <v>15792600</v>
      </c>
      <c r="L18" s="466">
        <v>15792600</v>
      </c>
      <c r="M18" s="466">
        <v>15792600</v>
      </c>
      <c r="N18" s="466">
        <v>15792600</v>
      </c>
      <c r="O18" s="361">
        <f>203209841-SUM(D18:N18)</f>
        <v>15793369</v>
      </c>
      <c r="P18" s="171"/>
    </row>
    <row r="19" spans="1:16" ht="24.75" customHeight="1">
      <c r="A19" s="549" t="s">
        <v>108</v>
      </c>
      <c r="B19" s="575" t="s">
        <v>109</v>
      </c>
      <c r="C19" s="465">
        <f t="shared" si="3"/>
        <v>398412306</v>
      </c>
      <c r="D19" s="466">
        <v>33201025</v>
      </c>
      <c r="E19" s="466">
        <v>33201025</v>
      </c>
      <c r="F19" s="466">
        <v>33201025</v>
      </c>
      <c r="G19" s="466">
        <v>33201025</v>
      </c>
      <c r="H19" s="466">
        <v>33201025</v>
      </c>
      <c r="I19" s="466">
        <v>33201025</v>
      </c>
      <c r="J19" s="466">
        <v>33201025</v>
      </c>
      <c r="K19" s="466">
        <v>33201025</v>
      </c>
      <c r="L19" s="466">
        <v>33201025</v>
      </c>
      <c r="M19" s="466">
        <v>33201025</v>
      </c>
      <c r="N19" s="466">
        <v>33201025</v>
      </c>
      <c r="O19" s="361">
        <f>398412306-SUM(D19:N19)</f>
        <v>33201031</v>
      </c>
      <c r="P19" s="171"/>
    </row>
    <row r="20" spans="1:16" ht="24.75" customHeight="1">
      <c r="A20" s="549" t="s">
        <v>110</v>
      </c>
      <c r="B20" s="575" t="s">
        <v>111</v>
      </c>
      <c r="C20" s="465">
        <f t="shared" si="3"/>
        <v>14500000</v>
      </c>
      <c r="D20" s="363">
        <v>1208000</v>
      </c>
      <c r="E20" s="363">
        <v>1208000</v>
      </c>
      <c r="F20" s="363">
        <v>1208000</v>
      </c>
      <c r="G20" s="363">
        <v>1208000</v>
      </c>
      <c r="H20" s="363">
        <v>1208000</v>
      </c>
      <c r="I20" s="363">
        <v>1208000</v>
      </c>
      <c r="J20" s="363">
        <v>1208000</v>
      </c>
      <c r="K20" s="363">
        <v>1208000</v>
      </c>
      <c r="L20" s="363">
        <v>1208000</v>
      </c>
      <c r="M20" s="363">
        <v>1208000</v>
      </c>
      <c r="N20" s="363">
        <v>1208000</v>
      </c>
      <c r="O20" s="361">
        <f>14500000-SUM(D20:N20)</f>
        <v>1212000</v>
      </c>
      <c r="P20" s="171"/>
    </row>
    <row r="21" spans="1:16" ht="24.75" customHeight="1">
      <c r="A21" s="549" t="s">
        <v>112</v>
      </c>
      <c r="B21" s="575" t="s">
        <v>113</v>
      </c>
      <c r="C21" s="465">
        <f t="shared" si="3"/>
        <v>958476</v>
      </c>
      <c r="D21" s="466">
        <v>79873</v>
      </c>
      <c r="E21" s="466">
        <v>79873</v>
      </c>
      <c r="F21" s="466">
        <v>79873</v>
      </c>
      <c r="G21" s="466">
        <v>79873</v>
      </c>
      <c r="H21" s="466">
        <v>79873</v>
      </c>
      <c r="I21" s="466">
        <v>79873</v>
      </c>
      <c r="J21" s="466">
        <v>79873</v>
      </c>
      <c r="K21" s="466">
        <v>79873</v>
      </c>
      <c r="L21" s="466">
        <v>79873</v>
      </c>
      <c r="M21" s="466">
        <v>79873</v>
      </c>
      <c r="N21" s="466">
        <v>79873</v>
      </c>
      <c r="O21" s="361">
        <f>958476-SUM(D21:N21)</f>
        <v>79873</v>
      </c>
      <c r="P21" s="171"/>
    </row>
    <row r="22" spans="1:16" ht="24.75" customHeight="1">
      <c r="A22" s="549" t="s">
        <v>548</v>
      </c>
      <c r="B22" s="575" t="s">
        <v>121</v>
      </c>
      <c r="C22" s="465">
        <f t="shared" si="3"/>
        <v>115214400</v>
      </c>
      <c r="D22" s="466"/>
      <c r="E22" s="466"/>
      <c r="F22" s="466">
        <v>2000000</v>
      </c>
      <c r="G22" s="466">
        <v>20000000</v>
      </c>
      <c r="H22" s="466">
        <v>20000000</v>
      </c>
      <c r="I22" s="466">
        <v>20000000</v>
      </c>
      <c r="J22" s="466">
        <v>20000000</v>
      </c>
      <c r="K22" s="466">
        <v>10000000</v>
      </c>
      <c r="L22" s="466">
        <v>10000000</v>
      </c>
      <c r="M22" s="466">
        <v>10000000</v>
      </c>
      <c r="N22" s="466">
        <v>2000000</v>
      </c>
      <c r="O22" s="361">
        <f>115214400-SUM(D22:N22)</f>
        <v>1214400</v>
      </c>
      <c r="P22" s="171"/>
    </row>
    <row r="23" spans="1:16" ht="24.75" customHeight="1">
      <c r="A23" s="549" t="s">
        <v>122</v>
      </c>
      <c r="B23" s="575" t="s">
        <v>123</v>
      </c>
      <c r="C23" s="465">
        <f t="shared" si="3"/>
        <v>17780000</v>
      </c>
      <c r="D23" s="363"/>
      <c r="E23" s="363"/>
      <c r="F23" s="363">
        <v>100000</v>
      </c>
      <c r="G23" s="363">
        <v>5000000</v>
      </c>
      <c r="H23" s="363">
        <v>5000000</v>
      </c>
      <c r="I23" s="363">
        <v>5000000</v>
      </c>
      <c r="J23" s="363">
        <v>1000000</v>
      </c>
      <c r="K23" s="363">
        <v>500000</v>
      </c>
      <c r="L23" s="363">
        <v>500000</v>
      </c>
      <c r="M23" s="363">
        <v>500000</v>
      </c>
      <c r="N23" s="363">
        <v>100000</v>
      </c>
      <c r="O23" s="361">
        <f>17780000-SUM(D23:N23)</f>
        <v>80000</v>
      </c>
      <c r="P23" s="171"/>
    </row>
    <row r="24" spans="1:16" ht="24.75" customHeight="1">
      <c r="A24" s="549" t="s">
        <v>124</v>
      </c>
      <c r="B24" s="575" t="s">
        <v>125</v>
      </c>
      <c r="C24" s="465">
        <f t="shared" si="3"/>
        <v>0</v>
      </c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1"/>
      <c r="P24" s="171"/>
    </row>
    <row r="25" spans="1:16" ht="24.75" customHeight="1">
      <c r="A25" s="549" t="s">
        <v>138</v>
      </c>
      <c r="B25" s="628" t="s">
        <v>139</v>
      </c>
      <c r="C25" s="465">
        <f>SUM(D25:O25)</f>
        <v>1557650746</v>
      </c>
      <c r="D25" s="363">
        <f>SUM(D17:D24)</f>
        <v>134973583</v>
      </c>
      <c r="E25" s="363">
        <f>SUM(E17:E24)</f>
        <v>117697998</v>
      </c>
      <c r="F25" s="363">
        <f aca="true" t="shared" si="4" ref="F25:M25">SUM(F17:F24)</f>
        <v>119797998</v>
      </c>
      <c r="G25" s="363">
        <f t="shared" si="4"/>
        <v>142697998</v>
      </c>
      <c r="H25" s="363">
        <f t="shared" si="4"/>
        <v>142697998</v>
      </c>
      <c r="I25" s="363">
        <f t="shared" si="4"/>
        <v>142697998</v>
      </c>
      <c r="J25" s="363">
        <f t="shared" si="4"/>
        <v>138697998</v>
      </c>
      <c r="K25" s="363">
        <f t="shared" si="4"/>
        <v>128197998</v>
      </c>
      <c r="L25" s="363">
        <f>SUM(L17:L24)</f>
        <v>128197998</v>
      </c>
      <c r="M25" s="363">
        <f t="shared" si="4"/>
        <v>128197998</v>
      </c>
      <c r="N25" s="363">
        <f>SUM(N17:N24)</f>
        <v>119797998</v>
      </c>
      <c r="O25" s="758">
        <f>1557650746-SUM(D25:N25)</f>
        <v>113997183</v>
      </c>
      <c r="P25" s="171"/>
    </row>
    <row r="26" spans="1:16" ht="24.75" customHeight="1">
      <c r="A26" s="549" t="s">
        <v>129</v>
      </c>
      <c r="B26" s="575" t="s">
        <v>130</v>
      </c>
      <c r="C26" s="465">
        <f t="shared" si="3"/>
        <v>0</v>
      </c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1"/>
      <c r="P26" s="1019"/>
    </row>
    <row r="27" spans="1:16" ht="24.75" customHeight="1">
      <c r="A27" s="893"/>
      <c r="B27" s="886" t="s">
        <v>405</v>
      </c>
      <c r="C27" s="466">
        <f t="shared" si="3"/>
        <v>0</v>
      </c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61"/>
      <c r="P27" s="171"/>
    </row>
    <row r="28" spans="1:16" ht="24.75" customHeight="1" thickBot="1">
      <c r="A28" s="894"/>
      <c r="B28" s="888" t="s">
        <v>404</v>
      </c>
      <c r="C28" s="738">
        <f t="shared" si="3"/>
        <v>0</v>
      </c>
      <c r="D28" s="875"/>
      <c r="E28" s="875"/>
      <c r="F28" s="875"/>
      <c r="G28" s="875"/>
      <c r="H28" s="875"/>
      <c r="I28" s="875"/>
      <c r="J28" s="875"/>
      <c r="K28" s="875"/>
      <c r="L28" s="875"/>
      <c r="M28" s="875"/>
      <c r="N28" s="875"/>
      <c r="O28" s="755"/>
      <c r="P28" s="171"/>
    </row>
    <row r="29" spans="1:19" s="879" customFormat="1" ht="24.75" customHeight="1" thickBot="1">
      <c r="A29" s="630"/>
      <c r="B29" s="884" t="s">
        <v>77</v>
      </c>
      <c r="C29" s="174">
        <f>SUM(D29:O29)</f>
        <v>1557650746</v>
      </c>
      <c r="D29" s="174">
        <f aca="true" t="shared" si="5" ref="D29:O29">SUM(D25:D28)</f>
        <v>134973583</v>
      </c>
      <c r="E29" s="174">
        <f t="shared" si="5"/>
        <v>117697998</v>
      </c>
      <c r="F29" s="174">
        <f t="shared" si="5"/>
        <v>119797998</v>
      </c>
      <c r="G29" s="174">
        <f t="shared" si="5"/>
        <v>142697998</v>
      </c>
      <c r="H29" s="174">
        <f t="shared" si="5"/>
        <v>142697998</v>
      </c>
      <c r="I29" s="174">
        <f t="shared" si="5"/>
        <v>142697998</v>
      </c>
      <c r="J29" s="174">
        <f t="shared" si="5"/>
        <v>138697998</v>
      </c>
      <c r="K29" s="174">
        <f t="shared" si="5"/>
        <v>128197998</v>
      </c>
      <c r="L29" s="174">
        <f t="shared" si="5"/>
        <v>128197998</v>
      </c>
      <c r="M29" s="174">
        <f t="shared" si="5"/>
        <v>128197998</v>
      </c>
      <c r="N29" s="174">
        <f t="shared" si="5"/>
        <v>119797998</v>
      </c>
      <c r="O29" s="759">
        <f t="shared" si="5"/>
        <v>113997183</v>
      </c>
      <c r="P29" s="171"/>
      <c r="Q29" s="878"/>
      <c r="R29" s="878"/>
      <c r="S29" s="878"/>
    </row>
  </sheetData>
  <sheetProtection/>
  <mergeCells count="5">
    <mergeCell ref="B1:B2"/>
    <mergeCell ref="B13:O14"/>
    <mergeCell ref="B15:B16"/>
    <mergeCell ref="A1:A2"/>
    <mergeCell ref="A15:A1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4" r:id="rId1"/>
  <headerFooter alignWithMargins="0">
    <oddHeader>&amp;LTÁJÉKOZTATÓ TÁBLA!&amp;C
&amp;"Times New Roman,Normál"BUDAPEST FŐVÁROS XX. KERÜLET PESTERZSÉBETI POLGÁRMESTERI HIVATAL 2017. évi bevételi és kiadási előirányzatainak felhasználási terve (Ft)&amp;R&amp;"Times New Roman,Normál"3.7.  sz. melléklet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54"/>
  <dimension ref="D27:D27"/>
  <sheetViews>
    <sheetView zoomScalePageLayoutView="0" workbookViewId="0" topLeftCell="A4">
      <selection activeCell="A5" sqref="A5"/>
    </sheetView>
  </sheetViews>
  <sheetFormatPr defaultColWidth="9.140625" defaultRowHeight="12.75"/>
  <sheetData>
    <row r="27" ht="30.75">
      <c r="D27" s="428" t="s">
        <v>451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11"/>
  <dimension ref="A1:I49"/>
  <sheetViews>
    <sheetView zoomScale="115" zoomScaleNormal="115" zoomScalePageLayoutView="0" workbookViewId="0" topLeftCell="A1">
      <pane xSplit="2" ySplit="2" topLeftCell="C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D31" sqref="D31"/>
    </sheetView>
  </sheetViews>
  <sheetFormatPr defaultColWidth="9.140625" defaultRowHeight="12.75"/>
  <cols>
    <col min="1" max="1" width="9.140625" style="93" customWidth="1"/>
    <col min="2" max="2" width="52.28125" style="93" customWidth="1"/>
    <col min="3" max="3" width="14.28125" style="94" customWidth="1"/>
    <col min="4" max="4" width="15.00390625" style="94" bestFit="1" customWidth="1"/>
    <col min="5" max="6" width="14.28125" style="94" customWidth="1"/>
    <col min="7" max="7" width="15.00390625" style="94" bestFit="1" customWidth="1"/>
    <col min="8" max="8" width="14.28125" style="93" customWidth="1"/>
    <col min="9" max="9" width="14.140625" style="94" customWidth="1"/>
    <col min="10" max="10" width="12.421875" style="93" customWidth="1"/>
    <col min="11" max="11" width="10.00390625" style="93" customWidth="1"/>
    <col min="12" max="16384" width="9.140625" style="93" customWidth="1"/>
  </cols>
  <sheetData>
    <row r="1" spans="1:8" ht="13.5" customHeight="1">
      <c r="A1" s="1922" t="s">
        <v>523</v>
      </c>
      <c r="B1" s="1924" t="s">
        <v>503</v>
      </c>
      <c r="C1" s="1862" t="s">
        <v>1065</v>
      </c>
      <c r="D1" s="1859" t="s">
        <v>1050</v>
      </c>
      <c r="E1" s="1860"/>
      <c r="F1" s="1860"/>
      <c r="G1" s="1861"/>
      <c r="H1" s="1864" t="s">
        <v>1051</v>
      </c>
    </row>
    <row r="2" spans="1:8" ht="42" customHeight="1" thickBot="1">
      <c r="A2" s="1923"/>
      <c r="B2" s="1925"/>
      <c r="C2" s="1863"/>
      <c r="D2" s="1122" t="s">
        <v>287</v>
      </c>
      <c r="E2" s="1122" t="s">
        <v>795</v>
      </c>
      <c r="F2" s="1122" t="s">
        <v>796</v>
      </c>
      <c r="G2" s="1122" t="s">
        <v>65</v>
      </c>
      <c r="H2" s="1865"/>
    </row>
    <row r="3" spans="1:9" s="611" customFormat="1" ht="19.5" customHeight="1">
      <c r="A3" s="612" t="s">
        <v>185</v>
      </c>
      <c r="B3" s="613" t="s">
        <v>186</v>
      </c>
      <c r="C3" s="614">
        <f>+'4.1.HSZI bev-kiad'!C3+'4.3. SZOCIFOGI bev-kiad'!C3+'4.5. CSILI bev-kiad'!C3+'4.7. MÚZ bev-kiad'!C3+'4.9. BAROSS bev-kiad'!C3+'4.11. GÉZ bev-kiad'!C3+'4.13. LUR bev-kiad'!C3+'4.15. NYIT bev-kiad'!C3+'4.17. GYMOS bev-kiad'!C3+'4.19. KER bev-kiad'!C3+'4.21. GAMESZ bev-kiad'!C3</f>
        <v>401741</v>
      </c>
      <c r="D3" s="614">
        <f>+'4.1.HSZI bev-kiad'!D3+'4.3. SZOCIFOGI bev-kiad'!D3+'4.5. CSILI bev-kiad'!D3+'4.7. MÚZ bev-kiad'!D3+'4.9. BAROSS bev-kiad'!D3+'4.11. GÉZ bev-kiad'!D3+'4.13. LUR bev-kiad'!D3+'4.15. NYIT bev-kiad'!D3+'4.17. GYMOS bev-kiad'!D3+'4.19. KER bev-kiad'!D3+'4.21. GAMESZ bev-kiad'!D3</f>
        <v>273480970</v>
      </c>
      <c r="E3" s="614">
        <f>+'4.1.HSZI bev-kiad'!E3+'4.3. SZOCIFOGI bev-kiad'!E3+'4.5. CSILI bev-kiad'!E3+'4.7. MÚZ bev-kiad'!E3+'4.9. BAROSS bev-kiad'!E3+'4.11. GÉZ bev-kiad'!E3+'4.13. LUR bev-kiad'!E3+'4.15. NYIT bev-kiad'!E3+'4.17. GYMOS bev-kiad'!E3+'4.19. KER bev-kiad'!E3+'4.21. GAMESZ bev-kiad'!E3</f>
        <v>16000000</v>
      </c>
      <c r="F3" s="614">
        <f>+'4.1.HSZI bev-kiad'!F3+'4.3. SZOCIFOGI bev-kiad'!F3+'4.5. CSILI bev-kiad'!F3+'4.7. MÚZ bev-kiad'!F3+'4.9. BAROSS bev-kiad'!F3+'4.11. GÉZ bev-kiad'!F3+'4.13. LUR bev-kiad'!F3+'4.15. NYIT bev-kiad'!F3+'4.17. GYMOS bev-kiad'!F3+'4.19. KER bev-kiad'!F3+'4.21. GAMESZ bev-kiad'!F3</f>
        <v>0</v>
      </c>
      <c r="G3" s="614">
        <f>'4.1.HSZI bev-kiad'!G3+'4.3. SZOCIFOGI bev-kiad'!G3+'4.5. CSILI bev-kiad'!G3+'4.7. MÚZ bev-kiad'!G3+'4.9. BAROSS bev-kiad'!G3+'4.11. GÉZ bev-kiad'!G3+'4.13. LUR bev-kiad'!G3+'4.15. NYIT bev-kiad'!G3+'4.17. GYMOS bev-kiad'!G3+'4.19. KER bev-kiad'!G3+'4.21. GAMESZ bev-kiad'!G3</f>
        <v>289480970</v>
      </c>
      <c r="H3" s="615">
        <f>G3/(C3*1000)</f>
        <v>0.72</v>
      </c>
      <c r="I3" s="610"/>
    </row>
    <row r="4" spans="1:9" s="611" customFormat="1" ht="19.5" customHeight="1">
      <c r="A4" s="616" t="s">
        <v>187</v>
      </c>
      <c r="B4" s="617" t="s">
        <v>145</v>
      </c>
      <c r="C4" s="618">
        <f>+'4.1.HSZI bev-kiad'!C5+'4.3. SZOCIFOGI bev-kiad'!C5+'4.5. CSILI bev-kiad'!C5+'4.7. MÚZ bev-kiad'!C4+'4.9. BAROSS bev-kiad'!C4+'4.11. GÉZ bev-kiad'!C4+'4.13. LUR bev-kiad'!C4+'4.15. NYIT bev-kiad'!C4+'4.17. GYMOS bev-kiad'!C4+'4.19. KER bev-kiad'!C4+'4.21. GAMESZ bev-kiad'!C4</f>
        <v>0</v>
      </c>
      <c r="D4" s="618">
        <f>+'4.1.HSZI bev-kiad'!D5+'4.3. SZOCIFOGI bev-kiad'!D5+'4.5. CSILI bev-kiad'!D5+'4.7. MÚZ bev-kiad'!D4+'4.9. BAROSS bev-kiad'!D4+'4.11. GÉZ bev-kiad'!D4+'4.13. LUR bev-kiad'!D4+'4.15. NYIT bev-kiad'!D4+'4.17. GYMOS bev-kiad'!D4+'4.19. KER bev-kiad'!D4+'4.21. GAMESZ bev-kiad'!D4</f>
        <v>0</v>
      </c>
      <c r="E4" s="618">
        <f>+'4.1.HSZI bev-kiad'!E5+'4.3. SZOCIFOGI bev-kiad'!E5+'4.5. CSILI bev-kiad'!E5+'4.7. MÚZ bev-kiad'!E4+'4.9. BAROSS bev-kiad'!E4+'4.11. GÉZ bev-kiad'!E4+'4.13. LUR bev-kiad'!E4+'4.15. NYIT bev-kiad'!E4+'4.17. GYMOS bev-kiad'!E4+'4.19. KER bev-kiad'!E4+'4.21. GAMESZ bev-kiad'!E4</f>
        <v>0</v>
      </c>
      <c r="F4" s="618">
        <f>+'4.1.HSZI bev-kiad'!F5+'4.3. SZOCIFOGI bev-kiad'!F5+'4.5. CSILI bev-kiad'!F5+'4.7. MÚZ bev-kiad'!F4+'4.9. BAROSS bev-kiad'!F4+'4.11. GÉZ bev-kiad'!F4+'4.13. LUR bev-kiad'!F4+'4.15. NYIT bev-kiad'!F4+'4.17. GYMOS bev-kiad'!F4+'4.19. KER bev-kiad'!F4+'4.21. GAMESZ bev-kiad'!F4</f>
        <v>0</v>
      </c>
      <c r="G4" s="618">
        <f>'4.1.HSZI bev-kiad'!G5+'4.3. SZOCIFOGI bev-kiad'!G5+'4.5. CSILI bev-kiad'!G5+'4.7. MÚZ bev-kiad'!G4+'4.9. BAROSS bev-kiad'!G4+'4.11. GÉZ bev-kiad'!G4+'4.13. LUR bev-kiad'!G4+'4.15. NYIT bev-kiad'!G4+'4.17. GYMOS bev-kiad'!G4+'4.19. KER bev-kiad'!G4+'4.21. GAMESZ bev-kiad'!G4</f>
        <v>0</v>
      </c>
      <c r="H4" s="619"/>
      <c r="I4" s="610"/>
    </row>
    <row r="5" spans="1:9" s="611" customFormat="1" ht="19.5" customHeight="1">
      <c r="A5" s="616" t="s">
        <v>193</v>
      </c>
      <c r="B5" s="617" t="s">
        <v>148</v>
      </c>
      <c r="C5" s="618">
        <f>+'4.1.HSZI bev-kiad'!C6+'4.3. SZOCIFOGI bev-kiad'!C6+'4.5. CSILI bev-kiad'!C6+'4.7. MÚZ bev-kiad'!C5+'4.9. BAROSS bev-kiad'!C5+'4.11. GÉZ bev-kiad'!C5+'4.13. LUR bev-kiad'!C5+'4.15. NYIT bev-kiad'!C5+'4.17. GYMOS bev-kiad'!C5+'4.19. KER bev-kiad'!C5+'4.21. GAMESZ bev-kiad'!C5</f>
        <v>0</v>
      </c>
      <c r="D5" s="618">
        <f>+'4.1.HSZI bev-kiad'!D6+'4.3. SZOCIFOGI bev-kiad'!D6+'4.5. CSILI bev-kiad'!D6+'4.7. MÚZ bev-kiad'!D5+'4.9. BAROSS bev-kiad'!D5+'4.11. GÉZ bev-kiad'!D5+'4.13. LUR bev-kiad'!D5+'4.15. NYIT bev-kiad'!D5+'4.17. GYMOS bev-kiad'!D5+'4.19. KER bev-kiad'!D5+'4.21. GAMESZ bev-kiad'!D5</f>
        <v>0</v>
      </c>
      <c r="E5" s="618">
        <f>+'4.1.HSZI bev-kiad'!E6+'4.3. SZOCIFOGI bev-kiad'!E6+'4.5. CSILI bev-kiad'!E6+'4.7. MÚZ bev-kiad'!E5+'4.9. BAROSS bev-kiad'!E5+'4.11. GÉZ bev-kiad'!E5+'4.13. LUR bev-kiad'!E5+'4.15. NYIT bev-kiad'!E5+'4.17. GYMOS bev-kiad'!E5+'4.19. KER bev-kiad'!E5+'4.21. GAMESZ bev-kiad'!E5</f>
        <v>0</v>
      </c>
      <c r="F5" s="618">
        <f>+'4.1.HSZI bev-kiad'!F6+'4.3. SZOCIFOGI bev-kiad'!F6+'4.5. CSILI bev-kiad'!F6+'4.7. MÚZ bev-kiad'!F5+'4.9. BAROSS bev-kiad'!F5+'4.11. GÉZ bev-kiad'!F5+'4.13. LUR bev-kiad'!F5+'4.15. NYIT bev-kiad'!F5+'4.17. GYMOS bev-kiad'!F5+'4.19. KER bev-kiad'!F5+'4.21. GAMESZ bev-kiad'!F5</f>
        <v>0</v>
      </c>
      <c r="G5" s="618">
        <f>'4.1.HSZI bev-kiad'!G6+'4.3. SZOCIFOGI bev-kiad'!G6+'4.5. CSILI bev-kiad'!G6+'4.7. MÚZ bev-kiad'!G5+'4.9. BAROSS bev-kiad'!G5+'4.11. GÉZ bev-kiad'!G5+'4.13. LUR bev-kiad'!G5+'4.15. NYIT bev-kiad'!G5+'4.17. GYMOS bev-kiad'!G5+'4.19. KER bev-kiad'!G5+'4.21. GAMESZ bev-kiad'!G5</f>
        <v>0</v>
      </c>
      <c r="H5" s="619"/>
      <c r="I5" s="610"/>
    </row>
    <row r="6" spans="1:9" s="611" customFormat="1" ht="19.5" customHeight="1">
      <c r="A6" s="616" t="s">
        <v>469</v>
      </c>
      <c r="B6" s="617" t="s">
        <v>664</v>
      </c>
      <c r="C6" s="618">
        <f>'4.1.HSZI bev-kiad'!C7+'4.3. SZOCIFOGI bev-kiad'!C7+'4.5. CSILI bev-kiad'!C7+'4.7. MÚZ bev-kiad'!C6+'4.9. BAROSS bev-kiad'!C6+'4.11. GÉZ bev-kiad'!C6+'4.13. LUR bev-kiad'!C6+'4.15. NYIT bev-kiad'!C6+'4.17. GYMOS bev-kiad'!C6+'4.19. KER bev-kiad'!C6+'4.21. GAMESZ bev-kiad'!C6</f>
        <v>436848</v>
      </c>
      <c r="D6" s="618">
        <f>'4.1.HSZI bev-kiad'!D7+'4.3. SZOCIFOGI bev-kiad'!D7+'4.5. CSILI bev-kiad'!D7+'4.7. MÚZ bev-kiad'!D6+'4.9. BAROSS bev-kiad'!D6+'4.11. GÉZ bev-kiad'!D6+'4.13. LUR bev-kiad'!D6+'4.15. NYIT bev-kiad'!D6+'4.17. GYMOS bev-kiad'!D6+'4.19. KER bev-kiad'!D6+'4.21. GAMESZ bev-kiad'!D6</f>
        <v>327549621</v>
      </c>
      <c r="E6" s="618">
        <f>'4.1.HSZI bev-kiad'!E7+'4.3. SZOCIFOGI bev-kiad'!E7+'4.5. CSILI bev-kiad'!E7+'4.7. MÚZ bev-kiad'!E6+'4.9. BAROSS bev-kiad'!E6+'4.11. GÉZ bev-kiad'!E6+'4.13. LUR bev-kiad'!E6+'4.15. NYIT bev-kiad'!E6+'4.17. GYMOS bev-kiad'!E6+'4.19. KER bev-kiad'!E6+'4.21. GAMESZ bev-kiad'!E6</f>
        <v>74300554</v>
      </c>
      <c r="F6" s="618">
        <f>'4.1.HSZI bev-kiad'!F7+'4.3. SZOCIFOGI bev-kiad'!F7+'4.5. CSILI bev-kiad'!F7+'4.7. MÚZ bev-kiad'!F6+'4.9. BAROSS bev-kiad'!F6+'4.11. GÉZ bev-kiad'!F6+'4.13. LUR bev-kiad'!F6+'4.15. NYIT bev-kiad'!F6+'4.17. GYMOS bev-kiad'!F6+'4.19. KER bev-kiad'!F6+'4.21. GAMESZ bev-kiad'!F6</f>
        <v>0</v>
      </c>
      <c r="G6" s="618">
        <f>'4.1.HSZI bev-kiad'!G7+'4.3. SZOCIFOGI bev-kiad'!G7+'4.5. CSILI bev-kiad'!G7+'4.7. MÚZ bev-kiad'!G6+'4.9. BAROSS bev-kiad'!G6+'4.11. GÉZ bev-kiad'!G6+'4.13. LUR bev-kiad'!G6+'4.15. NYIT bev-kiad'!G6+'4.17. GYMOS bev-kiad'!G6+'4.19. KER bev-kiad'!G6+'4.21. GAMESZ bev-kiad'!G6</f>
        <v>401850175</v>
      </c>
      <c r="H6" s="619">
        <f>G6/(C6*1000)</f>
        <v>0.92</v>
      </c>
      <c r="I6" s="610"/>
    </row>
    <row r="7" spans="1:9" s="611" customFormat="1" ht="19.5" customHeight="1">
      <c r="A7" s="616" t="s">
        <v>486</v>
      </c>
      <c r="B7" s="617" t="s">
        <v>663</v>
      </c>
      <c r="C7" s="618">
        <f>'4.1.HSZI bev-kiad'!C8+'4.3. SZOCIFOGI bev-kiad'!C8+'4.5. CSILI bev-kiad'!C8+'4.7. MÚZ bev-kiad'!C7+'4.9. BAROSS bev-kiad'!C7+'4.11. GÉZ bev-kiad'!C7+'4.13. LUR bev-kiad'!C7+'4.15. NYIT bev-kiad'!C7+'4.17. GYMOS bev-kiad'!C7+'4.19. KER bev-kiad'!C7+'4.21. GAMESZ bev-kiad'!C7</f>
        <v>0</v>
      </c>
      <c r="D7" s="618">
        <f>'4.1.HSZI bev-kiad'!D8+'4.3. SZOCIFOGI bev-kiad'!D8+'4.5. CSILI bev-kiad'!D8+'4.7. MÚZ bev-kiad'!D7+'4.9. BAROSS bev-kiad'!D7+'4.11. GÉZ bev-kiad'!D7+'4.13. LUR bev-kiad'!D7+'4.15. NYIT bev-kiad'!D7+'4.17. GYMOS bev-kiad'!D7+'4.19. KER bev-kiad'!D7+'4.21. GAMESZ bev-kiad'!D7</f>
        <v>0</v>
      </c>
      <c r="E7" s="618">
        <f>'4.1.HSZI bev-kiad'!E8+'4.3. SZOCIFOGI bev-kiad'!E8+'4.5. CSILI bev-kiad'!E8+'4.7. MÚZ bev-kiad'!E7+'4.9. BAROSS bev-kiad'!E7+'4.11. GÉZ bev-kiad'!E7+'4.13. LUR bev-kiad'!E7+'4.15. NYIT bev-kiad'!E7+'4.17. GYMOS bev-kiad'!E7+'4.19. KER bev-kiad'!E7+'4.21. GAMESZ bev-kiad'!E7</f>
        <v>0</v>
      </c>
      <c r="F7" s="618">
        <f>'4.1.HSZI bev-kiad'!F8+'4.3. SZOCIFOGI bev-kiad'!F8+'4.5. CSILI bev-kiad'!F8+'4.7. MÚZ bev-kiad'!F7+'4.9. BAROSS bev-kiad'!F7+'4.11. GÉZ bev-kiad'!F7+'4.13. LUR bev-kiad'!F7+'4.15. NYIT bev-kiad'!F7+'4.17. GYMOS bev-kiad'!F7+'4.19. KER bev-kiad'!F7+'4.21. GAMESZ bev-kiad'!F7</f>
        <v>0</v>
      </c>
      <c r="G7" s="618">
        <f>'4.1.HSZI bev-kiad'!G8+'4.3. SZOCIFOGI bev-kiad'!G8+'4.5. CSILI bev-kiad'!G8+'4.7. MÚZ bev-kiad'!G7+'4.9. BAROSS bev-kiad'!G7+'4.11. GÉZ bev-kiad'!G7+'4.13. LUR bev-kiad'!G7+'4.15. NYIT bev-kiad'!G7+'4.17. GYMOS bev-kiad'!G7+'4.19. KER bev-kiad'!G7+'4.21. GAMESZ bev-kiad'!G7</f>
        <v>0</v>
      </c>
      <c r="H7" s="619"/>
      <c r="I7" s="610"/>
    </row>
    <row r="8" spans="1:9" s="611" customFormat="1" ht="19.5" customHeight="1">
      <c r="A8" s="616" t="s">
        <v>471</v>
      </c>
      <c r="B8" s="617" t="s">
        <v>475</v>
      </c>
      <c r="C8" s="618">
        <f>'4.1.HSZI bev-kiad'!C9+'4.3. SZOCIFOGI bev-kiad'!C9+'4.5. CSILI bev-kiad'!C9+'4.7. MÚZ bev-kiad'!C8+'4.9. BAROSS bev-kiad'!C8+'4.11. GÉZ bev-kiad'!C8+'4.13. LUR bev-kiad'!C8+'4.15. NYIT bev-kiad'!C8+'4.17. GYMOS bev-kiad'!C8+'4.19. KER bev-kiad'!C8+'4.21. GAMESZ bev-kiad'!C8</f>
        <v>0</v>
      </c>
      <c r="D8" s="618">
        <f>'4.1.HSZI bev-kiad'!D9+'4.3. SZOCIFOGI bev-kiad'!D9+'4.5. CSILI bev-kiad'!D9+'4.7. MÚZ bev-kiad'!D8+'4.9. BAROSS bev-kiad'!D8+'4.11. GÉZ bev-kiad'!D8+'4.13. LUR bev-kiad'!D8+'4.15. NYIT bev-kiad'!D8+'4.17. GYMOS bev-kiad'!D8+'4.19. KER bev-kiad'!D8+'4.21. GAMESZ bev-kiad'!D8</f>
        <v>0</v>
      </c>
      <c r="E8" s="618">
        <f>'4.1.HSZI bev-kiad'!E9+'4.3. SZOCIFOGI bev-kiad'!E9+'4.5. CSILI bev-kiad'!E9+'4.7. MÚZ bev-kiad'!E8+'4.9. BAROSS bev-kiad'!E8+'4.11. GÉZ bev-kiad'!E8+'4.13. LUR bev-kiad'!E8+'4.15. NYIT bev-kiad'!E8+'4.17. GYMOS bev-kiad'!E8+'4.19. KER bev-kiad'!E8+'4.21. GAMESZ bev-kiad'!E8</f>
        <v>0</v>
      </c>
      <c r="F8" s="618">
        <f>'4.1.HSZI bev-kiad'!F9+'4.3. SZOCIFOGI bev-kiad'!F9+'4.5. CSILI bev-kiad'!F9+'4.7. MÚZ bev-kiad'!F8+'4.9. BAROSS bev-kiad'!F8+'4.11. GÉZ bev-kiad'!F8+'4.13. LUR bev-kiad'!F8+'4.15. NYIT bev-kiad'!F8+'4.17. GYMOS bev-kiad'!F8+'4.19. KER bev-kiad'!F8+'4.21. GAMESZ bev-kiad'!F8</f>
        <v>0</v>
      </c>
      <c r="G8" s="618">
        <f>'4.1.HSZI bev-kiad'!G9+'4.3. SZOCIFOGI bev-kiad'!G9+'4.5. CSILI bev-kiad'!G9+'4.7. MÚZ bev-kiad'!G8+'4.9. BAROSS bev-kiad'!G8+'4.11. GÉZ bev-kiad'!G8+'4.13. LUR bev-kiad'!G8+'4.15. NYIT bev-kiad'!G8+'4.17. GYMOS bev-kiad'!G8+'4.19. KER bev-kiad'!G8+'4.21. GAMESZ bev-kiad'!G8</f>
        <v>0</v>
      </c>
      <c r="H8" s="619"/>
      <c r="I8" s="610"/>
    </row>
    <row r="9" spans="1:9" s="611" customFormat="1" ht="19.5" customHeight="1" thickBot="1">
      <c r="A9" s="620" t="s">
        <v>473</v>
      </c>
      <c r="B9" s="621" t="s">
        <v>474</v>
      </c>
      <c r="C9" s="622">
        <f>'4.1.HSZI bev-kiad'!C10+'4.3. SZOCIFOGI bev-kiad'!C10+'4.5. CSILI bev-kiad'!C10+'4.7. MÚZ bev-kiad'!C9+'4.9. BAROSS bev-kiad'!C9+'4.11. GÉZ bev-kiad'!C9+'4.13. LUR bev-kiad'!C9+'4.15. NYIT bev-kiad'!C9+'4.17. GYMOS bev-kiad'!C9+'4.19. KER bev-kiad'!C9+'4.21. GAMESZ bev-kiad'!C9</f>
        <v>0</v>
      </c>
      <c r="D9" s="622">
        <f>'4.1.HSZI bev-kiad'!D10+'4.3. SZOCIFOGI bev-kiad'!D10+'4.5. CSILI bev-kiad'!D10+'4.7. MÚZ bev-kiad'!D9+'4.9. BAROSS bev-kiad'!D9+'4.11. GÉZ bev-kiad'!D9+'4.13. LUR bev-kiad'!D9+'4.15. NYIT bev-kiad'!D9+'4.17. GYMOS bev-kiad'!D9+'4.19. KER bev-kiad'!D9+'4.21. GAMESZ bev-kiad'!D9</f>
        <v>0</v>
      </c>
      <c r="E9" s="622">
        <f>'4.1.HSZI bev-kiad'!E10+'4.3. SZOCIFOGI bev-kiad'!E10+'4.5. CSILI bev-kiad'!E10+'4.7. MÚZ bev-kiad'!E9+'4.9. BAROSS bev-kiad'!E9+'4.11. GÉZ bev-kiad'!E9+'4.13. LUR bev-kiad'!E9+'4.15. NYIT bev-kiad'!E9+'4.17. GYMOS bev-kiad'!E9+'4.19. KER bev-kiad'!E9+'4.21. GAMESZ bev-kiad'!E9</f>
        <v>0</v>
      </c>
      <c r="F9" s="622">
        <f>'4.1.HSZI bev-kiad'!F10+'4.3. SZOCIFOGI bev-kiad'!F10+'4.5. CSILI bev-kiad'!F10+'4.7. MÚZ bev-kiad'!F9+'4.9. BAROSS bev-kiad'!F9+'4.11. GÉZ bev-kiad'!F9+'4.13. LUR bev-kiad'!F9+'4.15. NYIT bev-kiad'!F9+'4.17. GYMOS bev-kiad'!F9+'4.19. KER bev-kiad'!F9+'4.21. GAMESZ bev-kiad'!F9</f>
        <v>0</v>
      </c>
      <c r="G9" s="622">
        <f>'4.1.HSZI bev-kiad'!G10+'4.3. SZOCIFOGI bev-kiad'!G10+'4.5. CSILI bev-kiad'!G10+'4.7. MÚZ bev-kiad'!G9+'4.9. BAROSS bev-kiad'!G9+'4.11. GÉZ bev-kiad'!G9+'4.13. LUR bev-kiad'!G9+'4.15. NYIT bev-kiad'!G9+'4.17. GYMOS bev-kiad'!G9+'4.19. KER bev-kiad'!G9+'4.21. GAMESZ bev-kiad'!G9</f>
        <v>0</v>
      </c>
      <c r="H9" s="623"/>
      <c r="I9" s="610"/>
    </row>
    <row r="10" spans="1:9" s="397" customFormat="1" ht="15" customHeight="1" thickBot="1">
      <c r="A10" s="469" t="s">
        <v>476</v>
      </c>
      <c r="B10" s="470" t="s">
        <v>286</v>
      </c>
      <c r="C10" s="471">
        <f>'4.1.HSZI bev-kiad'!C11+'4.3. SZOCIFOGI bev-kiad'!C11+'4.5. CSILI bev-kiad'!C11+'4.7. MÚZ bev-kiad'!C10+'4.9. BAROSS bev-kiad'!C10+'4.11. GÉZ bev-kiad'!C10+'4.13. LUR bev-kiad'!C10+'4.15. NYIT bev-kiad'!C10+'4.17. GYMOS bev-kiad'!C10+'4.19. KER bev-kiad'!C10+'4.21. GAMESZ bev-kiad'!C10</f>
        <v>838589</v>
      </c>
      <c r="D10" s="471">
        <f>'4.1.HSZI bev-kiad'!D11+'4.3. SZOCIFOGI bev-kiad'!D11+'4.5. CSILI bev-kiad'!D11+'4.7. MÚZ bev-kiad'!D10+'4.9. BAROSS bev-kiad'!D10+'4.11. GÉZ bev-kiad'!D10+'4.13. LUR bev-kiad'!D10+'4.15. NYIT bev-kiad'!D10+'4.17. GYMOS bev-kiad'!D10+'4.19. KER bev-kiad'!D10+'4.21. GAMESZ bev-kiad'!D10</f>
        <v>601030591</v>
      </c>
      <c r="E10" s="471">
        <f>'4.1.HSZI bev-kiad'!E11+'4.3. SZOCIFOGI bev-kiad'!E11+'4.5. CSILI bev-kiad'!E11+'4.7. MÚZ bev-kiad'!E10+'4.9. BAROSS bev-kiad'!E10+'4.11. GÉZ bev-kiad'!E10+'4.13. LUR bev-kiad'!E10+'4.15. NYIT bev-kiad'!E10+'4.17. GYMOS bev-kiad'!E10+'4.19. KER bev-kiad'!E10+'4.21. GAMESZ bev-kiad'!E10</f>
        <v>90300554</v>
      </c>
      <c r="F10" s="471">
        <f>'4.1.HSZI bev-kiad'!F11+'4.3. SZOCIFOGI bev-kiad'!F11+'4.5. CSILI bev-kiad'!F11+'4.7. MÚZ bev-kiad'!F10+'4.9. BAROSS bev-kiad'!F10+'4.11. GÉZ bev-kiad'!F10+'4.13. LUR bev-kiad'!F10+'4.15. NYIT bev-kiad'!F10+'4.17. GYMOS bev-kiad'!F10+'4.19. KER bev-kiad'!F10+'4.21. GAMESZ bev-kiad'!F10</f>
        <v>0</v>
      </c>
      <c r="G10" s="569">
        <f>'4.1.HSZI bev-kiad'!G11+'4.3. SZOCIFOGI bev-kiad'!G11+'4.5. CSILI bev-kiad'!G11+'4.7. MÚZ bev-kiad'!G10+'4.9. BAROSS bev-kiad'!G10+'4.11. GÉZ bev-kiad'!G10+'4.13. LUR bev-kiad'!G10+'4.15. NYIT bev-kiad'!G10+'4.17. GYMOS bev-kiad'!G10+'4.19. KER bev-kiad'!G10+'4.21. GAMESZ bev-kiad'!G10</f>
        <v>691331145</v>
      </c>
      <c r="H10" s="486">
        <f>G10/(C10*1000)</f>
        <v>0.82</v>
      </c>
      <c r="I10" s="396"/>
    </row>
    <row r="11" spans="1:9" s="397" customFormat="1" ht="15" customHeight="1">
      <c r="A11" s="1020" t="s">
        <v>477</v>
      </c>
      <c r="B11" s="856" t="s">
        <v>478</v>
      </c>
      <c r="C11" s="1021">
        <f>+C12</f>
        <v>3795284</v>
      </c>
      <c r="D11" s="1021">
        <f>+D12</f>
        <v>3532068155</v>
      </c>
      <c r="E11" s="1021">
        <f>+E12</f>
        <v>150085865</v>
      </c>
      <c r="F11" s="1021">
        <f>+F12</f>
        <v>0</v>
      </c>
      <c r="G11" s="1021">
        <f>+G12</f>
        <v>3682154020</v>
      </c>
      <c r="H11" s="1022">
        <f>G11/(C11*1000)</f>
        <v>0.97</v>
      </c>
      <c r="I11" s="396"/>
    </row>
    <row r="12" spans="1:9" s="397" customFormat="1" ht="15" customHeight="1">
      <c r="A12" s="419" t="s">
        <v>483</v>
      </c>
      <c r="B12" s="473" t="s">
        <v>484</v>
      </c>
      <c r="C12" s="420">
        <f>+C13+C16</f>
        <v>3795284</v>
      </c>
      <c r="D12" s="420">
        <f>+D13+D16</f>
        <v>3532068155</v>
      </c>
      <c r="E12" s="420">
        <f>+E13+E16</f>
        <v>150085865</v>
      </c>
      <c r="F12" s="420">
        <f>+F13+F16</f>
        <v>0</v>
      </c>
      <c r="G12" s="420">
        <f aca="true" t="shared" si="0" ref="G12:G19">SUM(D12:F12)</f>
        <v>3682154020</v>
      </c>
      <c r="H12" s="485">
        <f>G12/(C12*1000)</f>
        <v>0.97</v>
      </c>
      <c r="I12" s="396"/>
    </row>
    <row r="13" spans="1:9" s="397" customFormat="1" ht="15" customHeight="1">
      <c r="A13" s="475" t="s">
        <v>479</v>
      </c>
      <c r="B13" s="477" t="s">
        <v>480</v>
      </c>
      <c r="C13" s="478">
        <f>SUM(C14:C15)</f>
        <v>41939</v>
      </c>
      <c r="D13" s="478">
        <f>SUM(D14:D15)</f>
        <v>36397640</v>
      </c>
      <c r="E13" s="478">
        <f>SUM(E14:E15)</f>
        <v>217921</v>
      </c>
      <c r="F13" s="478">
        <f>SUM(F14:F15)</f>
        <v>0</v>
      </c>
      <c r="G13" s="467">
        <f>SUM(D13:F13)</f>
        <v>36615561</v>
      </c>
      <c r="H13" s="487">
        <f>G13/C13</f>
        <v>873.07</v>
      </c>
      <c r="I13" s="396"/>
    </row>
    <row r="14" spans="1:9" s="397" customFormat="1" ht="15" customHeight="1">
      <c r="A14" s="299"/>
      <c r="B14" s="472" t="s">
        <v>241</v>
      </c>
      <c r="C14" s="297">
        <f>+'4.1.HSZI bev-kiad'!C15+'4.3. SZOCIFOGI bev-kiad'!C15+'4.5. CSILI bev-kiad'!C15+'4.7. MÚZ bev-kiad'!C14+'4.9. BAROSS bev-kiad'!C14+'4.11. GÉZ bev-kiad'!C14+'4.13. LUR bev-kiad'!C14+'4.15. NYIT bev-kiad'!C14+'4.17. GYMOS bev-kiad'!C14+'4.19. KER bev-kiad'!C14+'4.21. GAMESZ bev-kiad'!C14</f>
        <v>41939</v>
      </c>
      <c r="D14" s="297">
        <f>+'4.1.HSZI bev-kiad'!D15+'4.3. SZOCIFOGI bev-kiad'!D15+'4.5. CSILI bev-kiad'!D15+'4.7. MÚZ bev-kiad'!D14+'4.9. BAROSS bev-kiad'!D14+'4.11. GÉZ bev-kiad'!D14+'4.13. LUR bev-kiad'!D14+'4.15. NYIT bev-kiad'!D14+'4.17. GYMOS bev-kiad'!D14+'4.19. KER bev-kiad'!D14+'4.21. GAMESZ bev-kiad'!D14</f>
        <v>31650486</v>
      </c>
      <c r="E14" s="297">
        <f>+'4.1.HSZI bev-kiad'!E15+'4.3. SZOCIFOGI bev-kiad'!E15+'4.5. CSILI bev-kiad'!E15+'4.7. MÚZ bev-kiad'!E14+'4.9. BAROSS bev-kiad'!E14+'4.11. GÉZ bev-kiad'!E14+'4.13. LUR bev-kiad'!E14+'4.15. NYIT bev-kiad'!E14+'4.17. GYMOS bev-kiad'!E14+'4.19. KER bev-kiad'!E14+'4.21. GAMESZ bev-kiad'!E14</f>
        <v>217921</v>
      </c>
      <c r="F14" s="297">
        <f>+'4.1.HSZI bev-kiad'!F15+'4.3. SZOCIFOGI bev-kiad'!F15+'4.5. CSILI bev-kiad'!F15+'4.7. MÚZ bev-kiad'!F14+'4.9. BAROSS bev-kiad'!F14+'4.11. GÉZ bev-kiad'!F14+'4.13. LUR bev-kiad'!F14+'4.15. NYIT bev-kiad'!F14+'4.17. GYMOS bev-kiad'!F14+'4.19. KER bev-kiad'!F14+'4.21. GAMESZ bev-kiad'!F14</f>
        <v>0</v>
      </c>
      <c r="G14" s="297">
        <f t="shared" si="0"/>
        <v>31868407</v>
      </c>
      <c r="H14" s="484">
        <f>G14/C14</f>
        <v>759.88</v>
      </c>
      <c r="I14" s="396"/>
    </row>
    <row r="15" spans="1:9" s="397" customFormat="1" ht="15" customHeight="1">
      <c r="A15" s="299"/>
      <c r="B15" s="472" t="s">
        <v>242</v>
      </c>
      <c r="C15" s="297">
        <f>+'4.1.HSZI bev-kiad'!C17+'4.3. SZOCIFOGI bev-kiad'!C16+'4.5. CSILI bev-kiad'!C16+'4.7. MÚZ bev-kiad'!C15+'4.9. BAROSS bev-kiad'!C15+'4.11. GÉZ bev-kiad'!C15+'4.13. LUR bev-kiad'!C15+'4.15. NYIT bev-kiad'!C15+'4.17. GYMOS bev-kiad'!C15+'4.19. KER bev-kiad'!C15+'4.21. GAMESZ bev-kiad'!C15</f>
        <v>0</v>
      </c>
      <c r="D15" s="297">
        <f>+'4.1.HSZI bev-kiad'!D17+'4.3. SZOCIFOGI bev-kiad'!D16+'4.5. CSILI bev-kiad'!D16+'4.7. MÚZ bev-kiad'!D15+'4.9. BAROSS bev-kiad'!D15+'4.11. GÉZ bev-kiad'!D15+'4.13. LUR bev-kiad'!D15+'4.15. NYIT bev-kiad'!D15+'4.17. GYMOS bev-kiad'!D15+'4.19. KER bev-kiad'!D15+'4.21. GAMESZ bev-kiad'!D15</f>
        <v>4747154</v>
      </c>
      <c r="E15" s="297">
        <f>+'4.1.HSZI bev-kiad'!E17+'4.3. SZOCIFOGI bev-kiad'!E16+'4.5. CSILI bev-kiad'!E16+'4.7. MÚZ bev-kiad'!E15+'4.9. BAROSS bev-kiad'!E15+'4.11. GÉZ bev-kiad'!E15+'4.13. LUR bev-kiad'!E15+'4.15. NYIT bev-kiad'!E15+'4.17. GYMOS bev-kiad'!E15+'4.19. KER bev-kiad'!E15+'4.21. GAMESZ bev-kiad'!E15</f>
        <v>0</v>
      </c>
      <c r="F15" s="297">
        <f>+'4.1.HSZI bev-kiad'!F17+'4.3. SZOCIFOGI bev-kiad'!F16+'4.5. CSILI bev-kiad'!F16+'4.7. MÚZ bev-kiad'!F15+'4.9. BAROSS bev-kiad'!F15+'4.11. GÉZ bev-kiad'!F15+'4.13. LUR bev-kiad'!F15+'4.15. NYIT bev-kiad'!F15+'4.17. GYMOS bev-kiad'!F15+'4.19. KER bev-kiad'!F15+'4.21. GAMESZ bev-kiad'!F15</f>
        <v>0</v>
      </c>
      <c r="G15" s="297">
        <f t="shared" si="0"/>
        <v>4747154</v>
      </c>
      <c r="H15" s="484"/>
      <c r="I15" s="396"/>
    </row>
    <row r="16" spans="1:9" s="397" customFormat="1" ht="15" customHeight="1">
      <c r="A16" s="475" t="s">
        <v>665</v>
      </c>
      <c r="B16" s="476" t="s">
        <v>666</v>
      </c>
      <c r="C16" s="467">
        <f>SUM(C17:C18)</f>
        <v>3753345</v>
      </c>
      <c r="D16" s="467">
        <f>SUM(D17:D18)</f>
        <v>3495670515</v>
      </c>
      <c r="E16" s="467">
        <f>SUM(E17:E18)</f>
        <v>149867944</v>
      </c>
      <c r="F16" s="467">
        <f>SUM(F17:F18)</f>
        <v>0</v>
      </c>
      <c r="G16" s="491">
        <f>SUM(D16:F16)</f>
        <v>3645538459</v>
      </c>
      <c r="H16" s="488">
        <f aca="true" t="shared" si="1" ref="H16:H27">G16/(C16*1000)</f>
        <v>0.97</v>
      </c>
      <c r="I16" s="396"/>
    </row>
    <row r="17" spans="1:9" s="296" customFormat="1" ht="15" customHeight="1">
      <c r="A17" s="431"/>
      <c r="B17" s="474" t="s">
        <v>667</v>
      </c>
      <c r="C17" s="466">
        <f>+'4.1.HSZI bev-kiad'!C19+'4.3. SZOCIFOGI bev-kiad'!C18+'4.5. CSILI bev-kiad'!C18+'4.7. MÚZ bev-kiad'!C17+'4.9. BAROSS bev-kiad'!C17+'4.11. GÉZ bev-kiad'!C17+'4.13. LUR bev-kiad'!C17+'4.15. NYIT bev-kiad'!C17+'4.17. GYMOS bev-kiad'!C17+'4.19. KER bev-kiad'!C17+'4.21. GAMESZ bev-kiad'!C17</f>
        <v>3719706</v>
      </c>
      <c r="D17" s="466">
        <f>+'4.1.HSZI bev-kiad'!D19+'4.3. SZOCIFOGI bev-kiad'!D18+'4.5. CSILI bev-kiad'!D18+'4.7. MÚZ bev-kiad'!D17+'4.9. BAROSS bev-kiad'!D17+'4.11. GÉZ bev-kiad'!D17+'4.13. LUR bev-kiad'!D17+'4.15. NYIT bev-kiad'!D17+'4.17. GYMOS bev-kiad'!D17+'4.19. KER bev-kiad'!D17+'4.21. GAMESZ bev-kiad'!D17</f>
        <v>3477415515</v>
      </c>
      <c r="E17" s="466">
        <f>+'4.1.HSZI bev-kiad'!E19+'4.3. SZOCIFOGI bev-kiad'!E18+'4.5. CSILI bev-kiad'!E18+'4.7. MÚZ bev-kiad'!E17+'4.9. BAROSS bev-kiad'!E17+'4.11. GÉZ bev-kiad'!E17+'4.13. LUR bev-kiad'!E17+'4.15. NYIT bev-kiad'!E17+'4.17. GYMOS bev-kiad'!E17+'4.19. KER bev-kiad'!E17+'4.21. GAMESZ bev-kiad'!E17</f>
        <v>149867944</v>
      </c>
      <c r="F17" s="466">
        <f>+'4.1.HSZI bev-kiad'!F19+'4.3. SZOCIFOGI bev-kiad'!F18+'4.5. CSILI bev-kiad'!F18+'4.7. MÚZ bev-kiad'!F17+'4.9. BAROSS bev-kiad'!F17+'4.11. GÉZ bev-kiad'!F17+'4.13. LUR bev-kiad'!F17+'4.15. NYIT bev-kiad'!F17+'4.17. GYMOS bev-kiad'!F17+'4.19. KER bev-kiad'!F17+'4.21. GAMESZ bev-kiad'!F17</f>
        <v>0</v>
      </c>
      <c r="G17" s="465">
        <f t="shared" si="0"/>
        <v>3627283459</v>
      </c>
      <c r="H17" s="490">
        <f t="shared" si="1"/>
        <v>0.98</v>
      </c>
      <c r="I17" s="295"/>
    </row>
    <row r="18" spans="1:9" s="405" customFormat="1" ht="15" customHeight="1" thickBot="1">
      <c r="A18" s="431"/>
      <c r="B18" s="474" t="s">
        <v>668</v>
      </c>
      <c r="C18" s="466">
        <f>+'4.1.HSZI bev-kiad'!C20+'4.3. SZOCIFOGI bev-kiad'!C19+'4.5. CSILI bev-kiad'!C19+'4.7. MÚZ bev-kiad'!C18+'4.9. BAROSS bev-kiad'!C18+'4.11. GÉZ bev-kiad'!C18+'4.13. LUR bev-kiad'!C18+'4.15. NYIT bev-kiad'!C18+'4.17. GYMOS bev-kiad'!C18+'4.19. KER bev-kiad'!C18+'4.21. GAMESZ bev-kiad'!C18</f>
        <v>33639</v>
      </c>
      <c r="D18" s="466">
        <f>+'4.1.HSZI bev-kiad'!D20+'4.3. SZOCIFOGI bev-kiad'!D19+'4.5. CSILI bev-kiad'!D19+'4.7. MÚZ bev-kiad'!D18+'4.9. BAROSS bev-kiad'!D18+'4.11. GÉZ bev-kiad'!D18+'4.13. LUR bev-kiad'!D18+'4.15. NYIT bev-kiad'!D18+'4.17. GYMOS bev-kiad'!D18+'4.19. KER bev-kiad'!D18+'4.21. GAMESZ bev-kiad'!D18</f>
        <v>18255000</v>
      </c>
      <c r="E18" s="466">
        <f>+'4.1.HSZI bev-kiad'!E20+'4.3. SZOCIFOGI bev-kiad'!E19+'4.5. CSILI bev-kiad'!E19+'4.7. MÚZ bev-kiad'!E18+'4.9. BAROSS bev-kiad'!E18+'4.11. GÉZ bev-kiad'!E18+'4.13. LUR bev-kiad'!E18+'4.15. NYIT bev-kiad'!E18+'4.17. GYMOS bev-kiad'!E18+'4.19. KER bev-kiad'!E18+'4.21. GAMESZ bev-kiad'!E18</f>
        <v>0</v>
      </c>
      <c r="F18" s="466">
        <f>+'4.1.HSZI bev-kiad'!F20+'4.3. SZOCIFOGI bev-kiad'!F19+'4.5. CSILI bev-kiad'!F19+'4.7. MÚZ bev-kiad'!F18+'4.9. BAROSS bev-kiad'!F18+'4.11. GÉZ bev-kiad'!F18+'4.13. LUR bev-kiad'!F18+'4.15. NYIT bev-kiad'!F18+'4.17. GYMOS bev-kiad'!F18+'4.19. KER bev-kiad'!F18+'4.21. GAMESZ bev-kiad'!F18</f>
        <v>0</v>
      </c>
      <c r="G18" s="465">
        <f t="shared" si="0"/>
        <v>18255000</v>
      </c>
      <c r="H18" s="490">
        <f t="shared" si="1"/>
        <v>0.54</v>
      </c>
      <c r="I18" s="404"/>
    </row>
    <row r="19" spans="1:9" s="611" customFormat="1" ht="24.75" customHeight="1" thickBot="1">
      <c r="A19" s="479"/>
      <c r="B19" s="480" t="s">
        <v>78</v>
      </c>
      <c r="C19" s="895">
        <f>C10+C11</f>
        <v>4633873</v>
      </c>
      <c r="D19" s="895">
        <f>D10+D11</f>
        <v>4133098746</v>
      </c>
      <c r="E19" s="895">
        <f>E10+E11</f>
        <v>240386419</v>
      </c>
      <c r="F19" s="895">
        <f>F10+F11</f>
        <v>0</v>
      </c>
      <c r="G19" s="895">
        <f t="shared" si="0"/>
        <v>4373485165</v>
      </c>
      <c r="H19" s="489">
        <f t="shared" si="1"/>
        <v>0.94</v>
      </c>
      <c r="I19" s="610"/>
    </row>
    <row r="20" spans="1:8" ht="13.5" thickBot="1">
      <c r="A20" s="92"/>
      <c r="B20" s="92"/>
      <c r="C20" s="92"/>
      <c r="D20" s="92">
        <f>'4.1.HSZI bev-kiad'!D22+'4.3. SZOCIFOGI bev-kiad'!D21+'4.5. CSILI bev-kiad'!D21+'4.7. MÚZ bev-kiad'!D20+'4.9. BAROSS bev-kiad'!D20+'4.11. GÉZ bev-kiad'!D20+'4.13. LUR bev-kiad'!D20+'4.15. NYIT bev-kiad'!D20+'4.17. GYMOS bev-kiad'!D20+'4.19. KER bev-kiad'!D20+'4.21. GAMESZ bev-kiad'!D20</f>
        <v>0</v>
      </c>
      <c r="E20" s="92"/>
      <c r="F20" s="92"/>
      <c r="G20" s="92">
        <f>'4.1.HSZI bev-kiad'!G22+'4.3. SZOCIFOGI bev-kiad'!G21+'4.5. CSILI bev-kiad'!G21+'4.7. MÚZ bev-kiad'!G20+'4.9. BAROSS bev-kiad'!G20+'4.11. GÉZ bev-kiad'!G20+'4.13. LUR bev-kiad'!G20+'4.15. NYIT bev-kiad'!G20+'4.17. GYMOS bev-kiad'!G20+'4.19. KER bev-kiad'!G20+'4.21. GAMESZ bev-kiad'!G20</f>
        <v>0</v>
      </c>
      <c r="H20" s="92"/>
    </row>
    <row r="21" spans="1:8" ht="13.5" customHeight="1">
      <c r="A21" s="364"/>
      <c r="B21" s="504" t="s">
        <v>549</v>
      </c>
      <c r="C21" s="463">
        <f>+'4.1.HSZI bev-kiad'!C23+'4.3. SZOCIFOGI bev-kiad'!C22+'4.5. CSILI bev-kiad'!C22+'4.7. MÚZ bev-kiad'!C21+'4.9. BAROSS bev-kiad'!C21+'4.11. GÉZ bev-kiad'!C21+'4.13. LUR bev-kiad'!C21+'4.15. NYIT bev-kiad'!C21+'4.17. GYMOS bev-kiad'!C21+'4.19. KER bev-kiad'!C21+'4.21. GAMESZ bev-kiad'!C21</f>
        <v>838589</v>
      </c>
      <c r="D21" s="463">
        <f>+'4.1.HSZI bev-kiad'!D23+'4.3. SZOCIFOGI bev-kiad'!D22+'4.5. CSILI bev-kiad'!D22+'4.7. MÚZ bev-kiad'!D21+'4.9. BAROSS bev-kiad'!D21+'4.11. GÉZ bev-kiad'!D21+'4.13. LUR bev-kiad'!D21+'4.15. NYIT bev-kiad'!D21+'4.17. GYMOS bev-kiad'!D21+'4.19. KER bev-kiad'!D21+'4.21. GAMESZ bev-kiad'!D21</f>
        <v>601030591</v>
      </c>
      <c r="E21" s="463">
        <f>+'4.1.HSZI bev-kiad'!E23+'4.3. SZOCIFOGI bev-kiad'!E22+'4.5. CSILI bev-kiad'!E22+'4.7. MÚZ bev-kiad'!E21+'4.9. BAROSS bev-kiad'!E21+'4.11. GÉZ bev-kiad'!E21+'4.13. LUR bev-kiad'!E21+'4.15. NYIT bev-kiad'!E21+'4.17. GYMOS bev-kiad'!E21+'4.19. KER bev-kiad'!E21+'4.21. GAMESZ bev-kiad'!E21</f>
        <v>90300554</v>
      </c>
      <c r="F21" s="463">
        <f>+'4.1.HSZI bev-kiad'!F23+'4.3. SZOCIFOGI bev-kiad'!F22+'4.5. CSILI bev-kiad'!F22+'4.7. MÚZ bev-kiad'!F21+'4.9. BAROSS bev-kiad'!F21+'4.11. GÉZ bev-kiad'!F21+'4.13. LUR bev-kiad'!F21+'4.15. NYIT bev-kiad'!F21+'4.17. GYMOS bev-kiad'!F21+'4.19. KER bev-kiad'!F21+'4.21. GAMESZ bev-kiad'!F21</f>
        <v>0</v>
      </c>
      <c r="G21" s="463">
        <f>+'4.1.HSZI bev-kiad'!G23+'4.3. SZOCIFOGI bev-kiad'!G22+'4.5. CSILI bev-kiad'!G22+'4.7. MÚZ bev-kiad'!G21+'4.9. BAROSS bev-kiad'!G21+'4.11. GÉZ bev-kiad'!G21+'4.13. LUR bev-kiad'!G21+'4.15. NYIT bev-kiad'!G21+'4.17. GYMOS bev-kiad'!G21+'4.19. KER bev-kiad'!G21+'4.21. GAMESZ bev-kiad'!G21</f>
        <v>691331145</v>
      </c>
      <c r="H21" s="513">
        <f t="shared" si="1"/>
        <v>0.82</v>
      </c>
    </row>
    <row r="22" spans="1:8" ht="12.75">
      <c r="A22" s="299"/>
      <c r="B22" s="418" t="s">
        <v>550</v>
      </c>
      <c r="C22" s="297">
        <f>+'4.1.HSZI bev-kiad'!C24+'4.3. SZOCIFOGI bev-kiad'!C23+'4.5. CSILI bev-kiad'!C23+'4.7. MÚZ bev-kiad'!C22+'4.9. BAROSS bev-kiad'!C22+'4.11. GÉZ bev-kiad'!C22+'4.13. LUR bev-kiad'!C22+'4.15. NYIT bev-kiad'!C22+'4.17. GYMOS bev-kiad'!C22+'4.19. KER bev-kiad'!C22+'4.21. GAMESZ bev-kiad'!C22</f>
        <v>0</v>
      </c>
      <c r="D22" s="297">
        <f>+'4.1.HSZI bev-kiad'!D24+'4.3. SZOCIFOGI bev-kiad'!D23+'4.5. CSILI bev-kiad'!D23+'4.7. MÚZ bev-kiad'!D22+'4.9. BAROSS bev-kiad'!D22+'4.11. GÉZ bev-kiad'!D22+'4.13. LUR bev-kiad'!D22+'4.15. NYIT bev-kiad'!D22+'4.17. GYMOS bev-kiad'!D22+'4.19. KER bev-kiad'!D22+'4.21. GAMESZ bev-kiad'!D22</f>
        <v>0</v>
      </c>
      <c r="E22" s="297">
        <f>+'4.1.HSZI bev-kiad'!E24+'4.3. SZOCIFOGI bev-kiad'!E23+'4.5. CSILI bev-kiad'!E23+'4.7. MÚZ bev-kiad'!E22+'4.9. BAROSS bev-kiad'!E22+'4.11. GÉZ bev-kiad'!E22+'4.13. LUR bev-kiad'!E22+'4.15. NYIT bev-kiad'!E22+'4.17. GYMOS bev-kiad'!E22+'4.19. KER bev-kiad'!E22+'4.21. GAMESZ bev-kiad'!E22</f>
        <v>0</v>
      </c>
      <c r="F22" s="297">
        <f>+'4.1.HSZI bev-kiad'!F24+'4.3. SZOCIFOGI bev-kiad'!F23+'4.5. CSILI bev-kiad'!F23+'4.7. MÚZ bev-kiad'!F22+'4.9. BAROSS bev-kiad'!F22+'4.11. GÉZ bev-kiad'!F22+'4.13. LUR bev-kiad'!F22+'4.15. NYIT bev-kiad'!F22+'4.17. GYMOS bev-kiad'!F22+'4.19. KER bev-kiad'!F22+'4.21. GAMESZ bev-kiad'!F22</f>
        <v>0</v>
      </c>
      <c r="G22" s="297">
        <f>+'4.1.HSZI bev-kiad'!G24+'4.3. SZOCIFOGI bev-kiad'!G23+'4.5. CSILI bev-kiad'!G23+'4.7. MÚZ bev-kiad'!G22+'4.9. BAROSS bev-kiad'!G22+'4.11. GÉZ bev-kiad'!G22+'4.13. LUR bev-kiad'!G22+'4.15. NYIT bev-kiad'!G22+'4.17. GYMOS bev-kiad'!G22+'4.19. KER bev-kiad'!G22+'4.21. GAMESZ bev-kiad'!G22</f>
        <v>0</v>
      </c>
      <c r="H22" s="300"/>
    </row>
    <row r="23" spans="1:8" ht="12.75">
      <c r="A23" s="299"/>
      <c r="B23" s="418" t="s">
        <v>551</v>
      </c>
      <c r="C23" s="297">
        <f>+'4.1.HSZI bev-kiad'!C25+'4.3. SZOCIFOGI bev-kiad'!C24+'4.5. CSILI bev-kiad'!C24+'4.7. MÚZ bev-kiad'!C23+'4.9. BAROSS bev-kiad'!C23+'4.11. GÉZ bev-kiad'!C23+'4.13. LUR bev-kiad'!C23+'4.15. NYIT bev-kiad'!C23+'4.17. GYMOS bev-kiad'!C23+'4.19. KER bev-kiad'!C23+'4.21. GAMESZ bev-kiad'!C23</f>
        <v>3761645</v>
      </c>
      <c r="D23" s="297">
        <f>+'4.1.HSZI bev-kiad'!D25+'4.3. SZOCIFOGI bev-kiad'!D24+'4.5. CSILI bev-kiad'!D24+'4.7. MÚZ bev-kiad'!D23+'4.9. BAROSS bev-kiad'!D23+'4.11. GÉZ bev-kiad'!D23+'4.13. LUR bev-kiad'!D23+'4.15. NYIT bev-kiad'!D23+'4.17. GYMOS bev-kiad'!D23+'4.19. KER bev-kiad'!D23+'4.21. GAMESZ bev-kiad'!D23</f>
        <v>3509066001</v>
      </c>
      <c r="E23" s="297">
        <f>+'4.1.HSZI bev-kiad'!E25+'4.3. SZOCIFOGI bev-kiad'!E24+'4.5. CSILI bev-kiad'!E24+'4.7. MÚZ bev-kiad'!E23+'4.9. BAROSS bev-kiad'!E23+'4.11. GÉZ bev-kiad'!E23+'4.13. LUR bev-kiad'!E23+'4.15. NYIT bev-kiad'!E23+'4.17. GYMOS bev-kiad'!E23+'4.19. KER bev-kiad'!E23+'4.21. GAMESZ bev-kiad'!E23</f>
        <v>150085865</v>
      </c>
      <c r="F23" s="297">
        <f>+'4.1.HSZI bev-kiad'!F25+'4.3. SZOCIFOGI bev-kiad'!F24+'4.5. CSILI bev-kiad'!F24+'4.7. MÚZ bev-kiad'!F23+'4.9. BAROSS bev-kiad'!F23+'4.11. GÉZ bev-kiad'!F23+'4.13. LUR bev-kiad'!F23+'4.15. NYIT bev-kiad'!F23+'4.17. GYMOS bev-kiad'!F23+'4.19. KER bev-kiad'!F23+'4.21. GAMESZ bev-kiad'!F23</f>
        <v>0</v>
      </c>
      <c r="G23" s="297">
        <f>+'4.1.HSZI bev-kiad'!G25+'4.3. SZOCIFOGI bev-kiad'!G24+'4.5. CSILI bev-kiad'!G24+'4.7. MÚZ bev-kiad'!G23+'4.9. BAROSS bev-kiad'!G23+'4.11. GÉZ bev-kiad'!G23+'4.13. LUR bev-kiad'!G23+'4.15. NYIT bev-kiad'!G23+'4.17. GYMOS bev-kiad'!G23+'4.19. KER bev-kiad'!G23+'4.21. GAMESZ bev-kiad'!G23</f>
        <v>3659151866</v>
      </c>
      <c r="H23" s="300">
        <f t="shared" si="1"/>
        <v>0.97</v>
      </c>
    </row>
    <row r="24" spans="1:8" ht="13.5" thickBot="1">
      <c r="A24" s="301"/>
      <c r="B24" s="417" t="s">
        <v>552</v>
      </c>
      <c r="C24" s="482">
        <f>+'4.1.HSZI bev-kiad'!C26+'4.3. SZOCIFOGI bev-kiad'!C25+'4.5. CSILI bev-kiad'!C25+'4.7. MÚZ bev-kiad'!C24+'4.9. BAROSS bev-kiad'!C24+'4.11. GÉZ bev-kiad'!C24+'4.13. LUR bev-kiad'!C24+'4.15. NYIT bev-kiad'!C24+'4.17. GYMOS bev-kiad'!C24+'4.19. KER bev-kiad'!C24+'4.21. GAMESZ bev-kiad'!C24</f>
        <v>33639</v>
      </c>
      <c r="D24" s="482">
        <f>+'4.1.HSZI bev-kiad'!D26+'4.3. SZOCIFOGI bev-kiad'!D25+'4.5. CSILI bev-kiad'!D25+'4.7. MÚZ bev-kiad'!D24+'4.9. BAROSS bev-kiad'!D24+'4.11. GÉZ bev-kiad'!D24+'4.13. LUR bev-kiad'!D24+'4.15. NYIT bev-kiad'!D24+'4.17. GYMOS bev-kiad'!D24+'4.19. KER bev-kiad'!D24+'4.21. GAMESZ bev-kiad'!D24</f>
        <v>23002154</v>
      </c>
      <c r="E24" s="482">
        <f>+'4.1.HSZI bev-kiad'!E26+'4.3. SZOCIFOGI bev-kiad'!E25+'4.5. CSILI bev-kiad'!E25+'4.7. MÚZ bev-kiad'!E24+'4.9. BAROSS bev-kiad'!E24+'4.11. GÉZ bev-kiad'!E24+'4.13. LUR bev-kiad'!E24+'4.15. NYIT bev-kiad'!E24+'4.17. GYMOS bev-kiad'!E24+'4.19. KER bev-kiad'!E24+'4.21. GAMESZ bev-kiad'!E24</f>
        <v>0</v>
      </c>
      <c r="F24" s="482">
        <f>+'4.1.HSZI bev-kiad'!F26+'4.3. SZOCIFOGI bev-kiad'!F25+'4.5. CSILI bev-kiad'!F25+'4.7. MÚZ bev-kiad'!F24+'4.9. BAROSS bev-kiad'!F24+'4.11. GÉZ bev-kiad'!F24+'4.13. LUR bev-kiad'!F24+'4.15. NYIT bev-kiad'!F24+'4.17. GYMOS bev-kiad'!F24+'4.19. KER bev-kiad'!F24+'4.21. GAMESZ bev-kiad'!F24</f>
        <v>0</v>
      </c>
      <c r="G24" s="482">
        <f>+'4.1.HSZI bev-kiad'!G26+'4.3. SZOCIFOGI bev-kiad'!G25+'4.5. CSILI bev-kiad'!G25+'4.7. MÚZ bev-kiad'!G24+'4.9. BAROSS bev-kiad'!G24+'4.11. GÉZ bev-kiad'!G24+'4.13. LUR bev-kiad'!G24+'4.15. NYIT bev-kiad'!G24+'4.17. GYMOS bev-kiad'!G24+'4.19. KER bev-kiad'!G24+'4.21. GAMESZ bev-kiad'!G24</f>
        <v>23002154</v>
      </c>
      <c r="H24" s="303">
        <f t="shared" si="1"/>
        <v>0.68</v>
      </c>
    </row>
    <row r="25" spans="1:8" ht="12.75">
      <c r="A25" s="506"/>
      <c r="B25" s="505" t="s">
        <v>553</v>
      </c>
      <c r="C25" s="507">
        <f>+'4.1.HSZI bev-kiad'!C27+'4.3. SZOCIFOGI bev-kiad'!C26+'4.5. CSILI bev-kiad'!C26+'4.7. MÚZ bev-kiad'!C25+'4.9. BAROSS bev-kiad'!C25+'4.11. GÉZ bev-kiad'!C25+'4.13. LUR bev-kiad'!C25+'4.15. NYIT bev-kiad'!C25+'4.17. GYMOS bev-kiad'!C25+'4.19. KER bev-kiad'!C25+'4.21. GAMESZ bev-kiad'!C25</f>
        <v>4600234</v>
      </c>
      <c r="D25" s="507">
        <f>+D21+D23</f>
        <v>4110096592</v>
      </c>
      <c r="E25" s="507">
        <f>+E21+E23</f>
        <v>240386419</v>
      </c>
      <c r="F25" s="507">
        <f>+F21+F23</f>
        <v>0</v>
      </c>
      <c r="G25" s="507">
        <f>SUM(D25:F25)</f>
        <v>4350483011</v>
      </c>
      <c r="H25" s="515">
        <f t="shared" si="1"/>
        <v>0.95</v>
      </c>
    </row>
    <row r="26" spans="1:8" ht="13.5" customHeight="1" thickBot="1">
      <c r="A26" s="508"/>
      <c r="B26" s="509" t="s">
        <v>554</v>
      </c>
      <c r="C26" s="510">
        <f>+'4.1.HSZI bev-kiad'!C28+'4.3. SZOCIFOGI bev-kiad'!C27+'4.5. CSILI bev-kiad'!C27+'4.7. MÚZ bev-kiad'!C26+'4.9. BAROSS bev-kiad'!C26+'4.11. GÉZ bev-kiad'!C26+'4.13. LUR bev-kiad'!C26+'4.15. NYIT bev-kiad'!C26+'4.17. GYMOS bev-kiad'!C26+'4.19. KER bev-kiad'!C26+'4.21. GAMESZ bev-kiad'!C26</f>
        <v>33639</v>
      </c>
      <c r="D26" s="510">
        <f>+D24</f>
        <v>23002154</v>
      </c>
      <c r="E26" s="510">
        <f>+E24</f>
        <v>0</v>
      </c>
      <c r="F26" s="510">
        <f>+F24</f>
        <v>0</v>
      </c>
      <c r="G26" s="510">
        <f>SUM(D26:F26)</f>
        <v>23002154</v>
      </c>
      <c r="H26" s="516">
        <f t="shared" si="1"/>
        <v>0.68</v>
      </c>
    </row>
    <row r="27" spans="1:8" ht="13.5" customHeight="1" thickBot="1">
      <c r="A27" s="276"/>
      <c r="B27" s="511" t="s">
        <v>555</v>
      </c>
      <c r="C27" s="512">
        <f>+'4.1.HSZI bev-kiad'!C29+'4.3. SZOCIFOGI bev-kiad'!C28+'4.5. CSILI bev-kiad'!C28+'4.7. MÚZ bev-kiad'!C27+'4.9. BAROSS bev-kiad'!C27+'4.11. GÉZ bev-kiad'!C27+'4.13. LUR bev-kiad'!C27+'4.15. NYIT bev-kiad'!C27+'4.17. GYMOS bev-kiad'!C27+'4.19. KER bev-kiad'!C27+'4.21. GAMESZ bev-kiad'!C27</f>
        <v>4633873</v>
      </c>
      <c r="D27" s="512">
        <f>+'4.1.HSZI bev-kiad'!D29+'4.3. SZOCIFOGI bev-kiad'!D28+'4.5. CSILI bev-kiad'!D28+'4.7. MÚZ bev-kiad'!D27+'4.9. BAROSS bev-kiad'!D27+'4.11. GÉZ bev-kiad'!D27+'4.13. LUR bev-kiad'!D27+'4.15. NYIT bev-kiad'!D27+'4.17. GYMOS bev-kiad'!D27+'4.19. KER bev-kiad'!D27+'4.21. GAMESZ bev-kiad'!D27</f>
        <v>4133098746</v>
      </c>
      <c r="E27" s="512">
        <f>+'4.1.HSZI bev-kiad'!E29+'4.3. SZOCIFOGI bev-kiad'!E28+'4.5. CSILI bev-kiad'!E28+'4.7. MÚZ bev-kiad'!E27+'4.9. BAROSS bev-kiad'!E27+'4.11. GÉZ bev-kiad'!E27+'4.13. LUR bev-kiad'!E27+'4.15. NYIT bev-kiad'!E27+'4.17. GYMOS bev-kiad'!E27+'4.19. KER bev-kiad'!E27+'4.21. GAMESZ bev-kiad'!E27</f>
        <v>240386419</v>
      </c>
      <c r="F27" s="512">
        <f>+'4.1.HSZI bev-kiad'!F29+'4.3. SZOCIFOGI bev-kiad'!F28+'4.5. CSILI bev-kiad'!F28+'4.7. MÚZ bev-kiad'!F27+'4.9. BAROSS bev-kiad'!F27+'4.11. GÉZ bev-kiad'!F27+'4.13. LUR bev-kiad'!F27+'4.15. NYIT bev-kiad'!F27+'4.17. GYMOS bev-kiad'!F27+'4.19. KER bev-kiad'!F27+'4.21. GAMESZ bev-kiad'!F27</f>
        <v>0</v>
      </c>
      <c r="G27" s="512">
        <f>+'4.1.HSZI bev-kiad'!G29+'4.3. SZOCIFOGI bev-kiad'!G28+'4.5. CSILI bev-kiad'!G28+'4.7. MÚZ bev-kiad'!G27+'4.9. BAROSS bev-kiad'!G27+'4.11. GÉZ bev-kiad'!G27+'4.13. LUR bev-kiad'!G27+'4.15. NYIT bev-kiad'!G27+'4.17. GYMOS bev-kiad'!G27+'4.19. KER bev-kiad'!G27+'4.21. GAMESZ bev-kiad'!G27</f>
        <v>4373485165</v>
      </c>
      <c r="H27" s="514">
        <f t="shared" si="1"/>
        <v>0.94</v>
      </c>
    </row>
    <row r="28" ht="13.5" thickBot="1"/>
    <row r="29" spans="1:8" ht="13.5" customHeight="1">
      <c r="A29" s="1920" t="s">
        <v>523</v>
      </c>
      <c r="B29" s="1914" t="s">
        <v>504</v>
      </c>
      <c r="C29" s="1862" t="s">
        <v>1065</v>
      </c>
      <c r="D29" s="1859" t="s">
        <v>1050</v>
      </c>
      <c r="E29" s="1860"/>
      <c r="F29" s="1860"/>
      <c r="G29" s="1861"/>
      <c r="H29" s="1864" t="s">
        <v>1051</v>
      </c>
    </row>
    <row r="30" spans="1:8" ht="39" thickBot="1">
      <c r="A30" s="1921"/>
      <c r="B30" s="1915"/>
      <c r="C30" s="1863"/>
      <c r="D30" s="1122" t="s">
        <v>287</v>
      </c>
      <c r="E30" s="1122" t="s">
        <v>795</v>
      </c>
      <c r="F30" s="1122" t="s">
        <v>796</v>
      </c>
      <c r="G30" s="1122" t="s">
        <v>65</v>
      </c>
      <c r="H30" s="1865"/>
    </row>
    <row r="31" spans="1:9" s="611" customFormat="1" ht="24.75" customHeight="1">
      <c r="A31" s="612" t="s">
        <v>104</v>
      </c>
      <c r="B31" s="613" t="s">
        <v>105</v>
      </c>
      <c r="C31" s="614">
        <f>'4.1.HSZI bev-kiad'!C33+'4.3. SZOCIFOGI bev-kiad'!C32+'4.5. CSILI bev-kiad'!C32+'4.7. MÚZ bev-kiad'!C31+'4.9. BAROSS bev-kiad'!C31+'4.11. GÉZ bev-kiad'!C31+'4.13. LUR bev-kiad'!C31+'4.15. NYIT bev-kiad'!C31+'4.17. GYMOS bev-kiad'!C31+'4.19. KER bev-kiad'!C31+'4.21. GAMESZ bev-kiad'!C31</f>
        <v>2286515</v>
      </c>
      <c r="D31" s="614">
        <f>'4.1.HSZI bev-kiad'!D33+'4.3. SZOCIFOGI bev-kiad'!D32+'4.5. CSILI bev-kiad'!D32+'4.7. MÚZ bev-kiad'!D31+'4.9. BAROSS bev-kiad'!D31+'4.11. GÉZ bev-kiad'!D31+'4.13. LUR bev-kiad'!D31+'4.15. NYIT bev-kiad'!D31+'4.17. GYMOS bev-kiad'!D31+'4.19. KER bev-kiad'!D31+'4.21. GAMESZ bev-kiad'!D31</f>
        <v>2183131130</v>
      </c>
      <c r="E31" s="614">
        <f>'4.1.HSZI bev-kiad'!E33+'4.3. SZOCIFOGI bev-kiad'!E32+'4.5. CSILI bev-kiad'!E32+'4.7. MÚZ bev-kiad'!E31+'4.9. BAROSS bev-kiad'!E31+'4.11. GÉZ bev-kiad'!E31+'4.13. LUR bev-kiad'!E31+'4.15. NYIT bev-kiad'!E31+'4.17. GYMOS bev-kiad'!E31+'4.19. KER bev-kiad'!E31+'4.21. GAMESZ bev-kiad'!E31</f>
        <v>130168112</v>
      </c>
      <c r="F31" s="614">
        <f>'4.1.HSZI bev-kiad'!F33+'4.3. SZOCIFOGI bev-kiad'!F32+'4.5. CSILI bev-kiad'!F32+'4.7. MÚZ bev-kiad'!F31+'4.9. BAROSS bev-kiad'!F31+'4.11. GÉZ bev-kiad'!F31+'4.13. LUR bev-kiad'!F31+'4.15. NYIT bev-kiad'!F31+'4.17. GYMOS bev-kiad'!F31+'4.19. KER bev-kiad'!F31+'4.21. GAMESZ bev-kiad'!F31</f>
        <v>0</v>
      </c>
      <c r="G31" s="614">
        <f>'4.1.HSZI bev-kiad'!G33+'4.3. SZOCIFOGI bev-kiad'!G32+'4.5. CSILI bev-kiad'!G32+'4.7. MÚZ bev-kiad'!G31+'4.9. BAROSS bev-kiad'!G31+'4.11. GÉZ bev-kiad'!G31+'4.13. LUR bev-kiad'!G31+'4.15. NYIT bev-kiad'!G31+'4.17. GYMOS bev-kiad'!G31+'4.19. KER bev-kiad'!G31+'4.21. GAMESZ bev-kiad'!G31</f>
        <v>2313299242</v>
      </c>
      <c r="H31" s="615">
        <f>G31/(C31*1000)</f>
        <v>1.01</v>
      </c>
      <c r="I31" s="610"/>
    </row>
    <row r="32" spans="1:9" s="611" customFormat="1" ht="24.75" customHeight="1">
      <c r="A32" s="616" t="s">
        <v>106</v>
      </c>
      <c r="B32" s="624" t="s">
        <v>107</v>
      </c>
      <c r="C32" s="618">
        <f>'4.1.HSZI bev-kiad'!C34+'4.3. SZOCIFOGI bev-kiad'!C34+'4.5. CSILI bev-kiad'!C34+'4.7. MÚZ bev-kiad'!C32+'4.9. BAROSS bev-kiad'!C32+'4.11. GÉZ bev-kiad'!C32+'4.13. LUR bev-kiad'!C32+'4.15. NYIT bev-kiad'!C32+'4.17. GYMOS bev-kiad'!C32+'4.19. KER bev-kiad'!C32+'4.21. GAMESZ bev-kiad'!C32</f>
        <v>619068</v>
      </c>
      <c r="D32" s="618">
        <f>'4.1.HSZI bev-kiad'!D34+'4.3. SZOCIFOGI bev-kiad'!D34+'4.5. CSILI bev-kiad'!D34+'4.7. MÚZ bev-kiad'!D32+'4.9. BAROSS bev-kiad'!D32+'4.11. GÉZ bev-kiad'!D32+'4.13. LUR bev-kiad'!D32+'4.15. NYIT bev-kiad'!D32+'4.17. GYMOS bev-kiad'!D32+'4.19. KER bev-kiad'!D32+'4.21. GAMESZ bev-kiad'!D32</f>
        <v>525007080</v>
      </c>
      <c r="E32" s="618">
        <f>'4.1.HSZI bev-kiad'!E34+'4.3. SZOCIFOGI bev-kiad'!E34+'4.5. CSILI bev-kiad'!E34+'4.7. MÚZ bev-kiad'!E32+'4.9. BAROSS bev-kiad'!E32+'4.11. GÉZ bev-kiad'!E32+'4.13. LUR bev-kiad'!E32+'4.15. NYIT bev-kiad'!E32+'4.17. GYMOS bev-kiad'!E32+'4.19. KER bev-kiad'!E32+'4.21. GAMESZ bev-kiad'!E32</f>
        <v>20991480</v>
      </c>
      <c r="F32" s="618">
        <f>'4.1.HSZI bev-kiad'!F34+'4.3. SZOCIFOGI bev-kiad'!F34+'4.5. CSILI bev-kiad'!F34+'4.7. MÚZ bev-kiad'!F32+'4.9. BAROSS bev-kiad'!F32+'4.11. GÉZ bev-kiad'!F32+'4.13. LUR bev-kiad'!F32+'4.15. NYIT bev-kiad'!F32+'4.17. GYMOS bev-kiad'!F32+'4.19. KER bev-kiad'!F32+'4.21. GAMESZ bev-kiad'!F32</f>
        <v>0</v>
      </c>
      <c r="G32" s="618">
        <f>'4.1.HSZI bev-kiad'!G34+'4.3. SZOCIFOGI bev-kiad'!G34+'4.5. CSILI bev-kiad'!G34+'4.7. MÚZ bev-kiad'!G32+'4.9. BAROSS bev-kiad'!G32+'4.11. GÉZ bev-kiad'!G32+'4.13. LUR bev-kiad'!G32+'4.15. NYIT bev-kiad'!G32+'4.17. GYMOS bev-kiad'!G32+'4.19. KER bev-kiad'!G32+'4.21. GAMESZ bev-kiad'!G32</f>
        <v>545998560</v>
      </c>
      <c r="H32" s="619">
        <f>G32/(C32*1000)</f>
        <v>0.88</v>
      </c>
      <c r="I32" s="610"/>
    </row>
    <row r="33" spans="1:9" s="611" customFormat="1" ht="24.75" customHeight="1">
      <c r="A33" s="616" t="s">
        <v>108</v>
      </c>
      <c r="B33" s="617" t="s">
        <v>109</v>
      </c>
      <c r="C33" s="618">
        <f>'4.1.HSZI bev-kiad'!C35+'4.3. SZOCIFOGI bev-kiad'!C36+'4.5. CSILI bev-kiad'!C36+'4.7. MÚZ bev-kiad'!C33+'4.9. BAROSS bev-kiad'!C33+'4.11. GÉZ bev-kiad'!C33+'4.13. LUR bev-kiad'!C33+'4.15. NYIT bev-kiad'!C33+'4.17. GYMOS bev-kiad'!C33+'4.19. KER bev-kiad'!C33+'4.21. GAMESZ bev-kiad'!C33</f>
        <v>1693851</v>
      </c>
      <c r="D33" s="618">
        <f>'4.1.HSZI bev-kiad'!D35+'4.3. SZOCIFOGI bev-kiad'!D36+'4.5. CSILI bev-kiad'!D36+'4.7. MÚZ bev-kiad'!D33+'4.9. BAROSS bev-kiad'!D33+'4.11. GÉZ bev-kiad'!D33+'4.13. LUR bev-kiad'!D33+'4.15. NYIT bev-kiad'!D33+'4.17. GYMOS bev-kiad'!D33+'4.19. KER bev-kiad'!D33+'4.21. GAMESZ bev-kiad'!D33</f>
        <v>1401148382</v>
      </c>
      <c r="E33" s="618">
        <f>'4.1.HSZI bev-kiad'!E35+'4.3. SZOCIFOGI bev-kiad'!E36+'4.5. CSILI bev-kiad'!E36+'4.7. MÚZ bev-kiad'!E33+'4.9. BAROSS bev-kiad'!E33+'4.11. GÉZ bev-kiad'!E33+'4.13. LUR bev-kiad'!E33+'4.15. NYIT bev-kiad'!E33+'4.17. GYMOS bev-kiad'!E33+'4.19. KER bev-kiad'!E33+'4.21. GAMESZ bev-kiad'!E33</f>
        <v>89226827</v>
      </c>
      <c r="F33" s="618">
        <f>'4.1.HSZI bev-kiad'!F35+'4.3. SZOCIFOGI bev-kiad'!F36+'4.5. CSILI bev-kiad'!F36+'4.7. MÚZ bev-kiad'!F33+'4.9. BAROSS bev-kiad'!F33+'4.11. GÉZ bev-kiad'!F33+'4.13. LUR bev-kiad'!F33+'4.15. NYIT bev-kiad'!F33+'4.17. GYMOS bev-kiad'!F33+'4.19. KER bev-kiad'!F33+'4.21. GAMESZ bev-kiad'!F33</f>
        <v>0</v>
      </c>
      <c r="G33" s="618">
        <f>'4.1.HSZI bev-kiad'!G35+'4.3. SZOCIFOGI bev-kiad'!G36+'4.5. CSILI bev-kiad'!G36+'4.7. MÚZ bev-kiad'!G33+'4.9. BAROSS bev-kiad'!G33+'4.11. GÉZ bev-kiad'!G33+'4.13. LUR bev-kiad'!G33+'4.15. NYIT bev-kiad'!G33+'4.17. GYMOS bev-kiad'!G33+'4.19. KER bev-kiad'!G33+'4.21. GAMESZ bev-kiad'!G33</f>
        <v>1490375209</v>
      </c>
      <c r="H33" s="619">
        <f>G33/(C33*1000)</f>
        <v>0.88</v>
      </c>
      <c r="I33" s="610"/>
    </row>
    <row r="34" spans="1:9" s="611" customFormat="1" ht="24.75" customHeight="1">
      <c r="A34" s="616" t="s">
        <v>110</v>
      </c>
      <c r="B34" s="617" t="s">
        <v>111</v>
      </c>
      <c r="C34" s="618">
        <f>'4.1.HSZI bev-kiad'!C36+'4.3. SZOCIFOGI bev-kiad'!C37+'4.5. CSILI bev-kiad'!C37+'4.7. MÚZ bev-kiad'!C34+'4.9. BAROSS bev-kiad'!C34+'4.11. GÉZ bev-kiad'!C34+'4.13. LUR bev-kiad'!C34+'4.15. NYIT bev-kiad'!C34+'4.17. GYMOS bev-kiad'!C34+'4.19. KER bev-kiad'!C34+'4.21. GAMESZ bev-kiad'!C34</f>
        <v>800</v>
      </c>
      <c r="D34" s="618">
        <f>'4.1.HSZI bev-kiad'!D36+'4.3. SZOCIFOGI bev-kiad'!D37+'4.5. CSILI bev-kiad'!D37+'4.7. MÚZ bev-kiad'!D34+'4.9. BAROSS bev-kiad'!D34+'4.11. GÉZ bev-kiad'!D34+'4.13. LUR bev-kiad'!D34+'4.15. NYIT bev-kiad'!D34+'4.17. GYMOS bev-kiad'!D34+'4.19. KER bev-kiad'!D34+'4.21. GAMESZ bev-kiad'!D34</f>
        <v>810000</v>
      </c>
      <c r="E34" s="618">
        <f>'4.1.HSZI bev-kiad'!E36+'4.3. SZOCIFOGI bev-kiad'!E37+'4.5. CSILI bev-kiad'!E37+'4.7. MÚZ bev-kiad'!E34+'4.9. BAROSS bev-kiad'!E34+'4.11. GÉZ bev-kiad'!E34+'4.13. LUR bev-kiad'!E34+'4.15. NYIT bev-kiad'!E34+'4.17. GYMOS bev-kiad'!E34+'4.19. KER bev-kiad'!E34+'4.21. GAMESZ bev-kiad'!E34</f>
        <v>0</v>
      </c>
      <c r="F34" s="618">
        <f>'4.1.HSZI bev-kiad'!F36+'4.3. SZOCIFOGI bev-kiad'!F37+'4.5. CSILI bev-kiad'!F37+'4.7. MÚZ bev-kiad'!F34+'4.9. BAROSS bev-kiad'!F34+'4.11. GÉZ bev-kiad'!F34+'4.13. LUR bev-kiad'!F34+'4.15. NYIT bev-kiad'!F34+'4.17. GYMOS bev-kiad'!F34+'4.19. KER bev-kiad'!F34+'4.21. GAMESZ bev-kiad'!F34</f>
        <v>0</v>
      </c>
      <c r="G34" s="618">
        <f>'4.1.HSZI bev-kiad'!G36+'4.3. SZOCIFOGI bev-kiad'!G37+'4.5. CSILI bev-kiad'!G37+'4.7. MÚZ bev-kiad'!G34+'4.9. BAROSS bev-kiad'!G34+'4.11. GÉZ bev-kiad'!G34+'4.13. LUR bev-kiad'!G34+'4.15. NYIT bev-kiad'!G34+'4.17. GYMOS bev-kiad'!G34+'4.19. KER bev-kiad'!G34+'4.21. GAMESZ bev-kiad'!G34</f>
        <v>810000</v>
      </c>
      <c r="H34" s="619">
        <f>G34/(C34*1000)</f>
        <v>1.01</v>
      </c>
      <c r="I34" s="610"/>
    </row>
    <row r="35" spans="1:9" s="611" customFormat="1" ht="24.75" customHeight="1">
      <c r="A35" s="616" t="s">
        <v>112</v>
      </c>
      <c r="B35" s="617" t="s">
        <v>113</v>
      </c>
      <c r="C35" s="618">
        <f>'4.1.HSZI bev-kiad'!C37+'4.3. SZOCIFOGI bev-kiad'!C38+'4.5. CSILI bev-kiad'!C38+'4.7. MÚZ bev-kiad'!C35+'4.9. BAROSS bev-kiad'!C35+'4.11. GÉZ bev-kiad'!C35+'4.13. LUR bev-kiad'!C35+'4.15. NYIT bev-kiad'!C35+'4.17. GYMOS bev-kiad'!C35+'4.19. KER bev-kiad'!C35+'4.21. GAMESZ bev-kiad'!C35</f>
        <v>0</v>
      </c>
      <c r="D35" s="618">
        <f>'4.1.HSZI bev-kiad'!D37+'4.3. SZOCIFOGI bev-kiad'!D38+'4.5. CSILI bev-kiad'!D38+'4.7. MÚZ bev-kiad'!D35+'4.9. BAROSS bev-kiad'!D35+'4.11. GÉZ bev-kiad'!D35+'4.13. LUR bev-kiad'!D35+'4.15. NYIT bev-kiad'!D35+'4.17. GYMOS bev-kiad'!D35+'4.19. KER bev-kiad'!D35+'4.21. GAMESZ bev-kiad'!D35</f>
        <v>0</v>
      </c>
      <c r="E35" s="618">
        <f>'4.1.HSZI bev-kiad'!E37+'4.3. SZOCIFOGI bev-kiad'!E38+'4.5. CSILI bev-kiad'!E38+'4.7. MÚZ bev-kiad'!E35+'4.9. BAROSS bev-kiad'!E35+'4.11. GÉZ bev-kiad'!E35+'4.13. LUR bev-kiad'!E35+'4.15. NYIT bev-kiad'!E35+'4.17. GYMOS bev-kiad'!E35+'4.19. KER bev-kiad'!E35+'4.21. GAMESZ bev-kiad'!E35</f>
        <v>0</v>
      </c>
      <c r="F35" s="618">
        <f>'4.1.HSZI bev-kiad'!F37+'4.3. SZOCIFOGI bev-kiad'!F38+'4.5. CSILI bev-kiad'!F38+'4.7. MÚZ bev-kiad'!F35+'4.9. BAROSS bev-kiad'!F35+'4.11. GÉZ bev-kiad'!F35+'4.13. LUR bev-kiad'!F35+'4.15. NYIT bev-kiad'!F35+'4.17. GYMOS bev-kiad'!F35+'4.19. KER bev-kiad'!F35+'4.21. GAMESZ bev-kiad'!F35</f>
        <v>0</v>
      </c>
      <c r="G35" s="618">
        <f>'4.1.HSZI bev-kiad'!G37+'4.3. SZOCIFOGI bev-kiad'!G38+'4.5. CSILI bev-kiad'!G38+'4.7. MÚZ bev-kiad'!G35+'4.9. BAROSS bev-kiad'!G35+'4.11. GÉZ bev-kiad'!G35+'4.13. LUR bev-kiad'!G35+'4.15. NYIT bev-kiad'!G35+'4.17. GYMOS bev-kiad'!G35+'4.19. KER bev-kiad'!G35+'4.21. GAMESZ bev-kiad'!G35</f>
        <v>0</v>
      </c>
      <c r="H35" s="619"/>
      <c r="I35" s="610"/>
    </row>
    <row r="36" spans="1:9" s="611" customFormat="1" ht="24.75" customHeight="1">
      <c r="A36" s="616" t="s">
        <v>548</v>
      </c>
      <c r="B36" s="617" t="s">
        <v>121</v>
      </c>
      <c r="C36" s="618">
        <f>'4.1.HSZI bev-kiad'!C38+'4.3. SZOCIFOGI bev-kiad'!C39+'4.5. CSILI bev-kiad'!C39+'4.7. MÚZ bev-kiad'!C36+'4.9. BAROSS bev-kiad'!C36+'4.11. GÉZ bev-kiad'!C36+'4.13. LUR bev-kiad'!C36+'4.15. NYIT bev-kiad'!C36+'4.17. GYMOS bev-kiad'!C36+'4.19. KER bev-kiad'!C36+'4.21. GAMESZ bev-kiad'!C36</f>
        <v>33639</v>
      </c>
      <c r="D36" s="618">
        <f>'4.1.HSZI bev-kiad'!D38+'4.3. SZOCIFOGI bev-kiad'!D39+'4.5. CSILI bev-kiad'!D39+'4.7. MÚZ bev-kiad'!D36+'4.9. BAROSS bev-kiad'!D36+'4.11. GÉZ bev-kiad'!D36+'4.13. LUR bev-kiad'!D36+'4.15. NYIT bev-kiad'!D36+'4.17. GYMOS bev-kiad'!D36+'4.19. KER bev-kiad'!D36+'4.21. GAMESZ bev-kiad'!D36</f>
        <v>23002154</v>
      </c>
      <c r="E36" s="618">
        <f>'4.1.HSZI bev-kiad'!E38+'4.3. SZOCIFOGI bev-kiad'!E39+'4.5. CSILI bev-kiad'!E39+'4.7. MÚZ bev-kiad'!E36+'4.9. BAROSS bev-kiad'!E36+'4.11. GÉZ bev-kiad'!E36+'4.13. LUR bev-kiad'!E36+'4.15. NYIT bev-kiad'!E36+'4.17. GYMOS bev-kiad'!E36+'4.19. KER bev-kiad'!E36+'4.21. GAMESZ bev-kiad'!E36</f>
        <v>0</v>
      </c>
      <c r="F36" s="618">
        <f>'4.1.HSZI bev-kiad'!F38+'4.3. SZOCIFOGI bev-kiad'!F39+'4.5. CSILI bev-kiad'!F39+'4.7. MÚZ bev-kiad'!F36+'4.9. BAROSS bev-kiad'!F36+'4.11. GÉZ bev-kiad'!F36+'4.13. LUR bev-kiad'!F36+'4.15. NYIT bev-kiad'!F36+'4.17. GYMOS bev-kiad'!F36+'4.19. KER bev-kiad'!F36+'4.21. GAMESZ bev-kiad'!F36</f>
        <v>0</v>
      </c>
      <c r="G36" s="618">
        <f>'4.1.HSZI bev-kiad'!G38+'4.3. SZOCIFOGI bev-kiad'!G39+'4.5. CSILI bev-kiad'!G39+'4.7. MÚZ bev-kiad'!G36+'4.9. BAROSS bev-kiad'!G36+'4.11. GÉZ bev-kiad'!G36+'4.13. LUR bev-kiad'!G36+'4.15. NYIT bev-kiad'!G36+'4.17. GYMOS bev-kiad'!G36+'4.19. KER bev-kiad'!G36+'4.21. GAMESZ bev-kiad'!G36</f>
        <v>23002154</v>
      </c>
      <c r="H36" s="619">
        <f>G36/(C36*1000)</f>
        <v>0.68</v>
      </c>
      <c r="I36" s="610"/>
    </row>
    <row r="37" spans="1:9" s="611" customFormat="1" ht="24.75" customHeight="1">
      <c r="A37" s="616" t="s">
        <v>122</v>
      </c>
      <c r="B37" s="617" t="s">
        <v>123</v>
      </c>
      <c r="C37" s="618">
        <f>'4.1.HSZI bev-kiad'!C39+'4.3. SZOCIFOGI bev-kiad'!C40+'4.5. CSILI bev-kiad'!C40+'4.7. MÚZ bev-kiad'!C37+'4.9. BAROSS bev-kiad'!C37+'4.11. GÉZ bev-kiad'!C37+'4.13. LUR bev-kiad'!C37+'4.15. NYIT bev-kiad'!C37+'4.17. GYMOS bev-kiad'!C37+'4.19. KER bev-kiad'!C37+'4.21. GAMESZ bev-kiad'!C37</f>
        <v>0</v>
      </c>
      <c r="D37" s="618">
        <f>'4.1.HSZI bev-kiad'!D39+'4.3. SZOCIFOGI bev-kiad'!D40+'4.5. CSILI bev-kiad'!D40+'4.7. MÚZ bev-kiad'!D37+'4.9. BAROSS bev-kiad'!D37+'4.11. GÉZ bev-kiad'!D37+'4.13. LUR bev-kiad'!D37+'4.15. NYIT bev-kiad'!D37+'4.17. GYMOS bev-kiad'!D37+'4.19. KER bev-kiad'!D37+'4.21. GAMESZ bev-kiad'!D37</f>
        <v>0</v>
      </c>
      <c r="E37" s="618">
        <f>'4.1.HSZI bev-kiad'!E39+'4.3. SZOCIFOGI bev-kiad'!E40+'4.5. CSILI bev-kiad'!E40+'4.7. MÚZ bev-kiad'!E37+'4.9. BAROSS bev-kiad'!E37+'4.11. GÉZ bev-kiad'!E37+'4.13. LUR bev-kiad'!E37+'4.15. NYIT bev-kiad'!E37+'4.17. GYMOS bev-kiad'!E37+'4.19. KER bev-kiad'!E37+'4.21. GAMESZ bev-kiad'!E37</f>
        <v>0</v>
      </c>
      <c r="F37" s="618">
        <f>'4.1.HSZI bev-kiad'!F39+'4.3. SZOCIFOGI bev-kiad'!F40+'4.5. CSILI bev-kiad'!F40+'4.7. MÚZ bev-kiad'!F37+'4.9. BAROSS bev-kiad'!F37+'4.11. GÉZ bev-kiad'!F37+'4.13. LUR bev-kiad'!F37+'4.15. NYIT bev-kiad'!F37+'4.17. GYMOS bev-kiad'!F37+'4.19. KER bev-kiad'!F37+'4.21. GAMESZ bev-kiad'!F37</f>
        <v>0</v>
      </c>
      <c r="G37" s="618">
        <f>'4.1.HSZI bev-kiad'!G39+'4.3. SZOCIFOGI bev-kiad'!G40+'4.5. CSILI bev-kiad'!G40+'4.7. MÚZ bev-kiad'!G37+'4.9. BAROSS bev-kiad'!G37+'4.11. GÉZ bev-kiad'!G37+'4.13. LUR bev-kiad'!G37+'4.15. NYIT bev-kiad'!G37+'4.17. GYMOS bev-kiad'!G37+'4.19. KER bev-kiad'!G37+'4.21. GAMESZ bev-kiad'!G37</f>
        <v>0</v>
      </c>
      <c r="H37" s="619"/>
      <c r="I37" s="610"/>
    </row>
    <row r="38" spans="1:9" s="611" customFormat="1" ht="24.75" customHeight="1" thickBot="1">
      <c r="A38" s="620" t="s">
        <v>124</v>
      </c>
      <c r="B38" s="621" t="s">
        <v>125</v>
      </c>
      <c r="C38" s="622">
        <f>'4.1.HSZI bev-kiad'!C40+'4.3. SZOCIFOGI bev-kiad'!C41+'4.5. CSILI bev-kiad'!C41+'4.7. MÚZ bev-kiad'!C38+'4.9. BAROSS bev-kiad'!C38+'4.11. GÉZ bev-kiad'!C38+'4.13. LUR bev-kiad'!C38+'4.15. NYIT bev-kiad'!C38+'4.17. GYMOS bev-kiad'!C38+'4.19. KER bev-kiad'!C38+'4.21. GAMESZ bev-kiad'!C38</f>
        <v>0</v>
      </c>
      <c r="D38" s="622">
        <f>'4.1.HSZI bev-kiad'!D40+'4.3. SZOCIFOGI bev-kiad'!D41+'4.5. CSILI bev-kiad'!D41+'4.7. MÚZ bev-kiad'!D38+'4.9. BAROSS bev-kiad'!D38+'4.11. GÉZ bev-kiad'!D38+'4.13. LUR bev-kiad'!D38+'4.15. NYIT bev-kiad'!D38+'4.17. GYMOS bev-kiad'!D38+'4.19. KER bev-kiad'!D38+'4.21. GAMESZ bev-kiad'!D38</f>
        <v>0</v>
      </c>
      <c r="E38" s="622">
        <f>'4.1.HSZI bev-kiad'!E40+'4.3. SZOCIFOGI bev-kiad'!E41+'4.5. CSILI bev-kiad'!E41+'4.7. MÚZ bev-kiad'!E38+'4.9. BAROSS bev-kiad'!E38+'4.11. GÉZ bev-kiad'!E38+'4.13. LUR bev-kiad'!E38+'4.15. NYIT bev-kiad'!E38+'4.17. GYMOS bev-kiad'!E38+'4.19. KER bev-kiad'!E38+'4.21. GAMESZ bev-kiad'!E38</f>
        <v>0</v>
      </c>
      <c r="F38" s="622">
        <f>'4.1.HSZI bev-kiad'!F40+'4.3. SZOCIFOGI bev-kiad'!F41+'4.5. CSILI bev-kiad'!F41+'4.7. MÚZ bev-kiad'!F38+'4.9. BAROSS bev-kiad'!F38+'4.11. GÉZ bev-kiad'!F38+'4.13. LUR bev-kiad'!F38+'4.15. NYIT bev-kiad'!F38+'4.17. GYMOS bev-kiad'!F38+'4.19. KER bev-kiad'!F38+'4.21. GAMESZ bev-kiad'!F38</f>
        <v>0</v>
      </c>
      <c r="G38" s="622">
        <f>'4.1.HSZI bev-kiad'!G40+'4.3. SZOCIFOGI bev-kiad'!G41+'4.5. CSILI bev-kiad'!G41+'4.7. MÚZ bev-kiad'!G38+'4.9. BAROSS bev-kiad'!G38+'4.11. GÉZ bev-kiad'!G38+'4.13. LUR bev-kiad'!G38+'4.15. NYIT bev-kiad'!G38+'4.17. GYMOS bev-kiad'!G38+'4.19. KER bev-kiad'!G38+'4.21. GAMESZ bev-kiad'!G38</f>
        <v>0</v>
      </c>
      <c r="H38" s="625"/>
      <c r="I38" s="610"/>
    </row>
    <row r="39" spans="1:8" ht="13.5" thickBot="1">
      <c r="A39" s="469" t="s">
        <v>138</v>
      </c>
      <c r="B39" s="470" t="s">
        <v>139</v>
      </c>
      <c r="C39" s="471">
        <f>'4.1.HSZI bev-kiad'!C41+'4.3. SZOCIFOGI bev-kiad'!C42+'4.5. CSILI bev-kiad'!C42+'4.7. MÚZ bev-kiad'!C39+'4.9. BAROSS bev-kiad'!C39+'4.11. GÉZ bev-kiad'!C39+'4.13. LUR bev-kiad'!C39+'4.15. NYIT bev-kiad'!C39+'4.17. GYMOS bev-kiad'!C39+'4.19. KER bev-kiad'!C39+'4.21. GAMESZ bev-kiad'!C39</f>
        <v>4633873</v>
      </c>
      <c r="D39" s="471">
        <f>'4.1.HSZI bev-kiad'!D41+'4.3. SZOCIFOGI bev-kiad'!D42+'4.5. CSILI bev-kiad'!D42+'4.7. MÚZ bev-kiad'!D39+'4.9. BAROSS bev-kiad'!D39+'4.11. GÉZ bev-kiad'!D39+'4.13. LUR bev-kiad'!D39+'4.15. NYIT bev-kiad'!D39+'4.17. GYMOS bev-kiad'!D39+'4.19. KER bev-kiad'!D39+'4.21. GAMESZ bev-kiad'!D39</f>
        <v>4133098746</v>
      </c>
      <c r="E39" s="471">
        <f>'4.1.HSZI bev-kiad'!E41+'4.3. SZOCIFOGI bev-kiad'!E42+'4.5. CSILI bev-kiad'!E42+'4.7. MÚZ bev-kiad'!E39+'4.9. BAROSS bev-kiad'!E39+'4.11. GÉZ bev-kiad'!E39+'4.13. LUR bev-kiad'!E39+'4.15. NYIT bev-kiad'!E39+'4.17. GYMOS bev-kiad'!E39+'4.19. KER bev-kiad'!E39+'4.21. GAMESZ bev-kiad'!E39</f>
        <v>240386419</v>
      </c>
      <c r="F39" s="471">
        <f>'4.1.HSZI bev-kiad'!F41+'4.3. SZOCIFOGI bev-kiad'!F42+'4.5. CSILI bev-kiad'!F42+'4.7. MÚZ bev-kiad'!F39+'4.9. BAROSS bev-kiad'!F39+'4.11. GÉZ bev-kiad'!F39+'4.13. LUR bev-kiad'!F39+'4.15. NYIT bev-kiad'!F39+'4.17. GYMOS bev-kiad'!F39+'4.19. KER bev-kiad'!F39+'4.21. GAMESZ bev-kiad'!F39</f>
        <v>0</v>
      </c>
      <c r="G39" s="569">
        <f>'4.1.HSZI bev-kiad'!G41+'4.3. SZOCIFOGI bev-kiad'!G42+'4.5. CSILI bev-kiad'!G42+'4.7. MÚZ bev-kiad'!G39+'4.9. BAROSS bev-kiad'!G39+'4.11. GÉZ bev-kiad'!G39+'4.13. LUR bev-kiad'!G39+'4.15. NYIT bev-kiad'!G39+'4.17. GYMOS bev-kiad'!G39+'4.19. KER bev-kiad'!G39+'4.21. GAMESZ bev-kiad'!G39</f>
        <v>4373485165</v>
      </c>
      <c r="H39" s="486">
        <f>G39/(C39*1000)</f>
        <v>0.94</v>
      </c>
    </row>
    <row r="40" spans="1:9" s="611" customFormat="1" ht="24.75" customHeight="1" thickBot="1">
      <c r="A40" s="606" t="s">
        <v>129</v>
      </c>
      <c r="B40" s="607" t="s">
        <v>130</v>
      </c>
      <c r="C40" s="608">
        <f>'4.1.HSZI bev-kiad'!C42+'4.3. SZOCIFOGI bev-kiad'!C43+'4.5. CSILI bev-kiad'!C43+'4.7. MÚZ bev-kiad'!C40+'4.9. BAROSS bev-kiad'!C40+'4.11. GÉZ bev-kiad'!C40+'4.13. LUR bev-kiad'!C40+'4.15. NYIT bev-kiad'!C40+'4.17. GYMOS bev-kiad'!C40+'4.19. KER bev-kiad'!C40+'4.21. GAMESZ bev-kiad'!C40</f>
        <v>0</v>
      </c>
      <c r="D40" s="608">
        <f>'4.1.HSZI bev-kiad'!D42+'4.3. SZOCIFOGI bev-kiad'!D43+'4.5. CSILI bev-kiad'!D43+'4.7. MÚZ bev-kiad'!D40+'4.9. BAROSS bev-kiad'!D40+'4.11. GÉZ bev-kiad'!D40+'4.13. LUR bev-kiad'!D40+'4.15. NYIT bev-kiad'!D40+'4.17. GYMOS bev-kiad'!D40+'4.19. KER bev-kiad'!D40+'4.21. GAMESZ bev-kiad'!D40</f>
        <v>0</v>
      </c>
      <c r="E40" s="608">
        <f>'4.1.HSZI bev-kiad'!E42+'4.3. SZOCIFOGI bev-kiad'!E43+'4.5. CSILI bev-kiad'!E43+'4.7. MÚZ bev-kiad'!E40+'4.9. BAROSS bev-kiad'!E40+'4.11. GÉZ bev-kiad'!E40+'4.13. LUR bev-kiad'!E40+'4.15. NYIT bev-kiad'!E40+'4.17. GYMOS bev-kiad'!E40+'4.19. KER bev-kiad'!E40+'4.21. GAMESZ bev-kiad'!E40</f>
        <v>0</v>
      </c>
      <c r="F40" s="608">
        <f>'4.1.HSZI bev-kiad'!F42+'4.3. SZOCIFOGI bev-kiad'!F43+'4.5. CSILI bev-kiad'!F43+'4.7. MÚZ bev-kiad'!F40+'4.9. BAROSS bev-kiad'!F40+'4.11. GÉZ bev-kiad'!F40+'4.13. LUR bev-kiad'!F40+'4.15. NYIT bev-kiad'!F40+'4.17. GYMOS bev-kiad'!F40+'4.19. KER bev-kiad'!F40+'4.21. GAMESZ bev-kiad'!F40</f>
        <v>0</v>
      </c>
      <c r="G40" s="608">
        <f>'4.1.HSZI bev-kiad'!G42+'4.3. SZOCIFOGI bev-kiad'!G43+'4.5. CSILI bev-kiad'!G43+'4.7. MÚZ bev-kiad'!G40+'4.9. BAROSS bev-kiad'!G40+'4.11. GÉZ bev-kiad'!G40+'4.13. LUR bev-kiad'!G40+'4.15. NYIT bev-kiad'!G40+'4.17. GYMOS bev-kiad'!G40+'4.19. KER bev-kiad'!G40+'4.21. GAMESZ bev-kiad'!G40</f>
        <v>0</v>
      </c>
      <c r="H40" s="609"/>
      <c r="I40" s="610"/>
    </row>
    <row r="41" spans="1:8" s="290" customFormat="1" ht="24.75" customHeight="1" thickBot="1">
      <c r="A41" s="479"/>
      <c r="B41" s="480" t="s">
        <v>77</v>
      </c>
      <c r="C41" s="895">
        <f>'4.1.HSZI bev-kiad'!C43+'4.3. SZOCIFOGI bev-kiad'!C44+'4.5. CSILI bev-kiad'!C44+'4.7. MÚZ bev-kiad'!C41+'4.9. BAROSS bev-kiad'!C41+'4.11. GÉZ bev-kiad'!C41+'4.13. LUR bev-kiad'!C41+'4.15. NYIT bev-kiad'!C41+'4.17. GYMOS bev-kiad'!C41+'4.19. KER bev-kiad'!C41+'4.21. GAMESZ bev-kiad'!C41</f>
        <v>4633873</v>
      </c>
      <c r="D41" s="895">
        <f>'4.1.HSZI bev-kiad'!D43+'4.3. SZOCIFOGI bev-kiad'!D44+'4.5. CSILI bev-kiad'!D44+'4.7. MÚZ bev-kiad'!D41+'4.9. BAROSS bev-kiad'!D41+'4.11. GÉZ bev-kiad'!D41+'4.13. LUR bev-kiad'!D41+'4.15. NYIT bev-kiad'!D41+'4.17. GYMOS bev-kiad'!D41+'4.19. KER bev-kiad'!D41+'4.21. GAMESZ bev-kiad'!D41</f>
        <v>4133098746</v>
      </c>
      <c r="E41" s="895">
        <f>'4.1.HSZI bev-kiad'!E43+'4.3. SZOCIFOGI bev-kiad'!E44+'4.5. CSILI bev-kiad'!E44+'4.7. MÚZ bev-kiad'!E41+'4.9. BAROSS bev-kiad'!E41+'4.11. GÉZ bev-kiad'!E41+'4.13. LUR bev-kiad'!E41+'4.15. NYIT bev-kiad'!E41+'4.17. GYMOS bev-kiad'!E41+'4.19. KER bev-kiad'!E41+'4.21. GAMESZ bev-kiad'!E41</f>
        <v>240386419</v>
      </c>
      <c r="F41" s="895">
        <f>'4.1.HSZI bev-kiad'!F43+'4.3. SZOCIFOGI bev-kiad'!F44+'4.5. CSILI bev-kiad'!F44+'4.7. MÚZ bev-kiad'!F41+'4.9. BAROSS bev-kiad'!F41+'4.11. GÉZ bev-kiad'!F41+'4.13. LUR bev-kiad'!F41+'4.15. NYIT bev-kiad'!F41+'4.17. GYMOS bev-kiad'!F41+'4.19. KER bev-kiad'!F41+'4.21. GAMESZ bev-kiad'!F41</f>
        <v>0</v>
      </c>
      <c r="G41" s="895">
        <f>'4.1.HSZI bev-kiad'!G43+'4.3. SZOCIFOGI bev-kiad'!G44+'4.5. CSILI bev-kiad'!G44+'4.7. MÚZ bev-kiad'!G41+'4.9. BAROSS bev-kiad'!G41+'4.11. GÉZ bev-kiad'!G41+'4.13. LUR bev-kiad'!G41+'4.15. NYIT bev-kiad'!G41+'4.17. GYMOS bev-kiad'!G41+'4.19. KER bev-kiad'!G41+'4.21. GAMESZ bev-kiad'!G41</f>
        <v>4373485165</v>
      </c>
      <c r="H41" s="896">
        <f>G41/(C41*1000)</f>
        <v>0.94</v>
      </c>
    </row>
    <row r="42" spans="1:8" ht="13.5" thickBot="1">
      <c r="A42" s="556"/>
      <c r="B42" s="229"/>
      <c r="C42" s="553"/>
      <c r="D42" s="553">
        <f>'4.1.HSZI bev-kiad'!D44+'4.3. SZOCIFOGI bev-kiad'!D45+'4.5. CSILI bev-kiad'!D45+'4.7. MÚZ bev-kiad'!D42+'4.9. BAROSS bev-kiad'!D42+'4.11. GÉZ bev-kiad'!D42+'4.13. LUR bev-kiad'!D42+'4.15. NYIT bev-kiad'!D42+'4.17. GYMOS bev-kiad'!D42+'4.19. KER bev-kiad'!D42+'4.21. GAMESZ bev-kiad'!D42</f>
        <v>0</v>
      </c>
      <c r="E42" s="553"/>
      <c r="F42" s="554"/>
      <c r="G42" s="554"/>
      <c r="H42" s="557"/>
    </row>
    <row r="43" spans="1:8" ht="12.75">
      <c r="A43" s="364"/>
      <c r="B43" s="504" t="s">
        <v>158</v>
      </c>
      <c r="C43" s="463">
        <f>'4.1.HSZI bev-kiad'!C45+'4.3. SZOCIFOGI bev-kiad'!C46+'4.5. CSILI bev-kiad'!C46+'4.7. MÚZ bev-kiad'!C43+'4.9. BAROSS bev-kiad'!C43+'4.11. GÉZ bev-kiad'!C43+'4.13. LUR bev-kiad'!C43+'4.15. NYIT bev-kiad'!C43+'4.17. GYMOS bev-kiad'!C43+'4.19. KER bev-kiad'!C43+'4.21. GAMESZ bev-kiad'!C43</f>
        <v>4600234</v>
      </c>
      <c r="D43" s="463">
        <f>'4.1.HSZI bev-kiad'!D45+'4.3. SZOCIFOGI bev-kiad'!D46+'4.5. CSILI bev-kiad'!D46+'4.7. MÚZ bev-kiad'!D43+'4.9. BAROSS bev-kiad'!D43+'4.11. GÉZ bev-kiad'!D43+'4.13. LUR bev-kiad'!D43+'4.15. NYIT bev-kiad'!D43+'4.17. GYMOS bev-kiad'!D43+'4.19. KER bev-kiad'!D43+'4.21. GAMESZ bev-kiad'!D43</f>
        <v>4110096592</v>
      </c>
      <c r="E43" s="463">
        <f>'4.1.HSZI bev-kiad'!E45+'4.3. SZOCIFOGI bev-kiad'!E46+'4.5. CSILI bev-kiad'!E46+'4.7. MÚZ bev-kiad'!E43+'4.9. BAROSS bev-kiad'!E43+'4.11. GÉZ bev-kiad'!E43+'4.13. LUR bev-kiad'!E43+'4.15. NYIT bev-kiad'!E43+'4.17. GYMOS bev-kiad'!E43+'4.19. KER bev-kiad'!E43+'4.21. GAMESZ bev-kiad'!E43</f>
        <v>240386419</v>
      </c>
      <c r="F43" s="463">
        <f>'4.1.HSZI bev-kiad'!F45+'4.3. SZOCIFOGI bev-kiad'!F46+'4.5. CSILI bev-kiad'!F46+'4.7. MÚZ bev-kiad'!F43+'4.9. BAROSS bev-kiad'!F43+'4.11. GÉZ bev-kiad'!F43+'4.13. LUR bev-kiad'!F43+'4.15. NYIT bev-kiad'!F43+'4.17. GYMOS bev-kiad'!F43+'4.19. KER bev-kiad'!F43+'4.21. GAMESZ bev-kiad'!F43</f>
        <v>0</v>
      </c>
      <c r="G43" s="463">
        <f>'4.1.HSZI bev-kiad'!G45+'4.3. SZOCIFOGI bev-kiad'!G46+'4.5. CSILI bev-kiad'!G46+'4.7. MÚZ bev-kiad'!G43+'4.9. BAROSS bev-kiad'!G43+'4.11. GÉZ bev-kiad'!G43+'4.13. LUR bev-kiad'!G43+'4.15. NYIT bev-kiad'!G43+'4.17. GYMOS bev-kiad'!G43+'4.19. KER bev-kiad'!G43+'4.21. GAMESZ bev-kiad'!G43</f>
        <v>4350483011</v>
      </c>
      <c r="H43" s="513">
        <f>G43/(C43*1000)</f>
        <v>0.95</v>
      </c>
    </row>
    <row r="44" spans="1:8" ht="12.75">
      <c r="A44" s="299"/>
      <c r="B44" s="418" t="s">
        <v>159</v>
      </c>
      <c r="C44" s="297">
        <f>'4.1.HSZI bev-kiad'!C46+'4.3. SZOCIFOGI bev-kiad'!C47+'4.5. CSILI bev-kiad'!C47+'4.7. MÚZ bev-kiad'!C44+'4.9. BAROSS bev-kiad'!C44+'4.11. GÉZ bev-kiad'!C44+'4.13. LUR bev-kiad'!C44+'4.15. NYIT bev-kiad'!C44+'4.17. GYMOS bev-kiad'!C44+'4.19. KER bev-kiad'!C44+'4.21. GAMESZ bev-kiad'!C44</f>
        <v>33639</v>
      </c>
      <c r="D44" s="297">
        <f>'4.1.HSZI bev-kiad'!D46+'4.3. SZOCIFOGI bev-kiad'!D47+'4.5. CSILI bev-kiad'!D47+'4.7. MÚZ bev-kiad'!D44+'4.9. BAROSS bev-kiad'!D44+'4.11. GÉZ bev-kiad'!D44+'4.13. LUR bev-kiad'!D44+'4.15. NYIT bev-kiad'!D44+'4.17. GYMOS bev-kiad'!D44+'4.19. KER bev-kiad'!D44+'4.21. GAMESZ bev-kiad'!D44</f>
        <v>23002154</v>
      </c>
      <c r="E44" s="297">
        <f>'4.1.HSZI bev-kiad'!E46+'4.3. SZOCIFOGI bev-kiad'!E47+'4.5. CSILI bev-kiad'!E47+'4.7. MÚZ bev-kiad'!E44+'4.9. BAROSS bev-kiad'!E44+'4.11. GÉZ bev-kiad'!E44+'4.13. LUR bev-kiad'!E44+'4.15. NYIT bev-kiad'!E44+'4.17. GYMOS bev-kiad'!E44+'4.19. KER bev-kiad'!E44+'4.21. GAMESZ bev-kiad'!E44</f>
        <v>0</v>
      </c>
      <c r="F44" s="297">
        <f>'4.1.HSZI bev-kiad'!F46+'4.3. SZOCIFOGI bev-kiad'!F47+'4.5. CSILI bev-kiad'!F47+'4.7. MÚZ bev-kiad'!F44+'4.9. BAROSS bev-kiad'!F44+'4.11. GÉZ bev-kiad'!F44+'4.13. LUR bev-kiad'!F44+'4.15. NYIT bev-kiad'!F44+'4.17. GYMOS bev-kiad'!F44+'4.19. KER bev-kiad'!F44+'4.21. GAMESZ bev-kiad'!F44</f>
        <v>0</v>
      </c>
      <c r="G44" s="297">
        <f>'4.1.HSZI bev-kiad'!G46+'4.3. SZOCIFOGI bev-kiad'!G47+'4.5. CSILI bev-kiad'!G47+'4.7. MÚZ bev-kiad'!G44+'4.9. BAROSS bev-kiad'!G44+'4.11. GÉZ bev-kiad'!G44+'4.13. LUR bev-kiad'!G44+'4.15. NYIT bev-kiad'!G44+'4.17. GYMOS bev-kiad'!G44+'4.19. KER bev-kiad'!G44+'4.21. GAMESZ bev-kiad'!G44</f>
        <v>23002154</v>
      </c>
      <c r="H44" s="300">
        <f>G44/(C44*1000)</f>
        <v>0.68</v>
      </c>
    </row>
    <row r="45" spans="1:8" ht="12.75">
      <c r="A45" s="299"/>
      <c r="B45" s="418" t="s">
        <v>160</v>
      </c>
      <c r="C45" s="297">
        <f>'4.1.HSZI bev-kiad'!C47+'4.3. SZOCIFOGI bev-kiad'!C48+'4.5. CSILI bev-kiad'!C48+'4.7. MÚZ bev-kiad'!C45+'4.9. BAROSS bev-kiad'!C45+'4.11. GÉZ bev-kiad'!C45+'4.13. LUR bev-kiad'!C45+'4.15. NYIT bev-kiad'!C45+'4.17. GYMOS bev-kiad'!C45+'4.19. KER bev-kiad'!C45+'4.21. GAMESZ bev-kiad'!C45</f>
        <v>0</v>
      </c>
      <c r="D45" s="297">
        <f>'4.1.HSZI bev-kiad'!D47+'4.3. SZOCIFOGI bev-kiad'!D48+'4.5. CSILI bev-kiad'!D48+'4.7. MÚZ bev-kiad'!D45+'4.9. BAROSS bev-kiad'!D45+'4.11. GÉZ bev-kiad'!D45+'4.13. LUR bev-kiad'!D45+'4.15. NYIT bev-kiad'!D45+'4.17. GYMOS bev-kiad'!D45+'4.19. KER bev-kiad'!D45+'4.21. GAMESZ bev-kiad'!D45</f>
        <v>0</v>
      </c>
      <c r="E45" s="297">
        <f>'4.1.HSZI bev-kiad'!E47+'4.3. SZOCIFOGI bev-kiad'!E48+'4.5. CSILI bev-kiad'!E48+'4.7. MÚZ bev-kiad'!E45+'4.9. BAROSS bev-kiad'!E45+'4.11. GÉZ bev-kiad'!E45+'4.13. LUR bev-kiad'!E45+'4.15. NYIT bev-kiad'!E45+'4.17. GYMOS bev-kiad'!E45+'4.19. KER bev-kiad'!E45+'4.21. GAMESZ bev-kiad'!E45</f>
        <v>0</v>
      </c>
      <c r="F45" s="297">
        <f>'4.1.HSZI bev-kiad'!F47+'4.3. SZOCIFOGI bev-kiad'!F48+'4.5. CSILI bev-kiad'!F48+'4.7. MÚZ bev-kiad'!F45+'4.9. BAROSS bev-kiad'!F45+'4.11. GÉZ bev-kiad'!F45+'4.13. LUR bev-kiad'!F45+'4.15. NYIT bev-kiad'!F45+'4.17. GYMOS bev-kiad'!F45+'4.19. KER bev-kiad'!F45+'4.21. GAMESZ bev-kiad'!F45</f>
        <v>0</v>
      </c>
      <c r="G45" s="297">
        <f>'4.1.HSZI bev-kiad'!G47+'4.3. SZOCIFOGI bev-kiad'!G48+'4.5. CSILI bev-kiad'!G48+'4.7. MÚZ bev-kiad'!G45+'4.9. BAROSS bev-kiad'!G45+'4.11. GÉZ bev-kiad'!G45+'4.13. LUR bev-kiad'!G45+'4.15. NYIT bev-kiad'!G45+'4.17. GYMOS bev-kiad'!G45+'4.19. KER bev-kiad'!G45+'4.21. GAMESZ bev-kiad'!G45</f>
        <v>0</v>
      </c>
      <c r="H45" s="300"/>
    </row>
    <row r="46" spans="1:8" ht="13.5" thickBot="1">
      <c r="A46" s="301"/>
      <c r="B46" s="417" t="s">
        <v>161</v>
      </c>
      <c r="C46" s="482">
        <f>'4.1.HSZI bev-kiad'!C48+'4.3. SZOCIFOGI bev-kiad'!C49+'4.5. CSILI bev-kiad'!C49+'4.7. MÚZ bev-kiad'!C46+'4.9. BAROSS bev-kiad'!C46+'4.11. GÉZ bev-kiad'!C46+'4.13. LUR bev-kiad'!C46+'4.15. NYIT bev-kiad'!C46+'4.17. GYMOS bev-kiad'!C46+'4.19. KER bev-kiad'!C46+'4.21. GAMESZ bev-kiad'!C46</f>
        <v>0</v>
      </c>
      <c r="D46" s="482">
        <f>'4.1.HSZI bev-kiad'!D48+'4.3. SZOCIFOGI bev-kiad'!D49+'4.5. CSILI bev-kiad'!D49+'4.7. MÚZ bev-kiad'!D46+'4.9. BAROSS bev-kiad'!D46+'4.11. GÉZ bev-kiad'!D46+'4.13. LUR bev-kiad'!D46+'4.15. NYIT bev-kiad'!D46+'4.17. GYMOS bev-kiad'!D46+'4.19. KER bev-kiad'!D46+'4.21. GAMESZ bev-kiad'!D46</f>
        <v>0</v>
      </c>
      <c r="E46" s="482">
        <f>'4.1.HSZI bev-kiad'!E48+'4.3. SZOCIFOGI bev-kiad'!E49+'4.5. CSILI bev-kiad'!E49+'4.7. MÚZ bev-kiad'!E46+'4.9. BAROSS bev-kiad'!E46+'4.11. GÉZ bev-kiad'!E46+'4.13. LUR bev-kiad'!E46+'4.15. NYIT bev-kiad'!E46+'4.17. GYMOS bev-kiad'!E46+'4.19. KER bev-kiad'!E46+'4.21. GAMESZ bev-kiad'!E46</f>
        <v>0</v>
      </c>
      <c r="F46" s="482">
        <f>'4.1.HSZI bev-kiad'!F48+'4.3. SZOCIFOGI bev-kiad'!F49+'4.5. CSILI bev-kiad'!F49+'4.7. MÚZ bev-kiad'!F46+'4.9. BAROSS bev-kiad'!F46+'4.11. GÉZ bev-kiad'!F46+'4.13. LUR bev-kiad'!F46+'4.15. NYIT bev-kiad'!F46+'4.17. GYMOS bev-kiad'!F46+'4.19. KER bev-kiad'!F46+'4.21. GAMESZ bev-kiad'!F46</f>
        <v>0</v>
      </c>
      <c r="G46" s="482">
        <f>'4.1.HSZI bev-kiad'!G48+'4.3. SZOCIFOGI bev-kiad'!G49+'4.5. CSILI bev-kiad'!G49+'4.7. MÚZ bev-kiad'!G46+'4.9. BAROSS bev-kiad'!G46+'4.11. GÉZ bev-kiad'!G46+'4.13. LUR bev-kiad'!G46+'4.15. NYIT bev-kiad'!G46+'4.17. GYMOS bev-kiad'!G46+'4.19. KER bev-kiad'!G46+'4.21. GAMESZ bev-kiad'!G46</f>
        <v>0</v>
      </c>
      <c r="H46" s="303"/>
    </row>
    <row r="47" spans="1:8" ht="12.75">
      <c r="A47" s="506"/>
      <c r="B47" s="505" t="s">
        <v>162</v>
      </c>
      <c r="C47" s="507">
        <f>'4.1.HSZI bev-kiad'!C49+'4.3. SZOCIFOGI bev-kiad'!C50+'4.5. CSILI bev-kiad'!C50+'4.7. MÚZ bev-kiad'!C47+'4.9. BAROSS bev-kiad'!C47+'4.11. GÉZ bev-kiad'!C47+'4.13. LUR bev-kiad'!C47+'4.15. NYIT bev-kiad'!C47+'4.17. GYMOS bev-kiad'!C47+'4.19. KER bev-kiad'!C47+'4.21. GAMESZ bev-kiad'!C47</f>
        <v>4600234</v>
      </c>
      <c r="D47" s="507">
        <f>'4.1.HSZI bev-kiad'!D49+'4.3. SZOCIFOGI bev-kiad'!D50+'4.5. CSILI bev-kiad'!D50+'4.7. MÚZ bev-kiad'!D47+'4.9. BAROSS bev-kiad'!D47+'4.11. GÉZ bev-kiad'!D47+'4.13. LUR bev-kiad'!D47+'4.15. NYIT bev-kiad'!D47+'4.17. GYMOS bev-kiad'!D47+'4.19. KER bev-kiad'!D47+'4.21. GAMESZ bev-kiad'!D47</f>
        <v>4110096592</v>
      </c>
      <c r="E47" s="507">
        <f>'4.1.HSZI bev-kiad'!E49+'4.3. SZOCIFOGI bev-kiad'!E50+'4.5. CSILI bev-kiad'!E50+'4.7. MÚZ bev-kiad'!E47+'4.9. BAROSS bev-kiad'!E47+'4.11. GÉZ bev-kiad'!E47+'4.13. LUR bev-kiad'!E47+'4.15. NYIT bev-kiad'!E47+'4.17. GYMOS bev-kiad'!E47+'4.19. KER bev-kiad'!E47+'4.21. GAMESZ bev-kiad'!E47</f>
        <v>240386419</v>
      </c>
      <c r="F47" s="505">
        <f>'4.1.HSZI bev-kiad'!F49+'4.3. SZOCIFOGI bev-kiad'!F50+'4.5. CSILI bev-kiad'!F50+'4.7. MÚZ bev-kiad'!F47+'4.9. BAROSS bev-kiad'!F47+'4.11. GÉZ bev-kiad'!F47+'4.13. LUR bev-kiad'!F47+'4.15. NYIT bev-kiad'!F47+'4.17. GYMOS bev-kiad'!F47+'4.19. KER bev-kiad'!F47+'4.21. GAMESZ bev-kiad'!F47</f>
        <v>0</v>
      </c>
      <c r="G47" s="507">
        <f>'4.1.HSZI bev-kiad'!G49+'4.3. SZOCIFOGI bev-kiad'!G50+'4.5. CSILI bev-kiad'!G50+'4.7. MÚZ bev-kiad'!G47+'4.9. BAROSS bev-kiad'!G47+'4.11. GÉZ bev-kiad'!G47+'4.13. LUR bev-kiad'!G47+'4.15. NYIT bev-kiad'!G47+'4.17. GYMOS bev-kiad'!G47+'4.19. KER bev-kiad'!G47+'4.21. GAMESZ bev-kiad'!G47</f>
        <v>4350483011</v>
      </c>
      <c r="H47" s="515">
        <f>G47/(C47*1000)</f>
        <v>0.95</v>
      </c>
    </row>
    <row r="48" spans="1:8" ht="13.5" thickBot="1">
      <c r="A48" s="508"/>
      <c r="B48" s="509" t="s">
        <v>163</v>
      </c>
      <c r="C48" s="510">
        <f>'4.1.HSZI bev-kiad'!C50+'4.3. SZOCIFOGI bev-kiad'!C51+'4.5. CSILI bev-kiad'!C51+'4.7. MÚZ bev-kiad'!C48+'4.9. BAROSS bev-kiad'!C48+'4.11. GÉZ bev-kiad'!C48+'4.13. LUR bev-kiad'!C48+'4.15. NYIT bev-kiad'!C48+'4.17. GYMOS bev-kiad'!C48+'4.19. KER bev-kiad'!C48+'4.21. GAMESZ bev-kiad'!C48</f>
        <v>33639</v>
      </c>
      <c r="D48" s="510">
        <f>'4.1.HSZI bev-kiad'!D50+'4.3. SZOCIFOGI bev-kiad'!D51+'4.5. CSILI bev-kiad'!D51+'4.7. MÚZ bev-kiad'!D48+'4.9. BAROSS bev-kiad'!D48+'4.11. GÉZ bev-kiad'!D48+'4.13. LUR bev-kiad'!D48+'4.15. NYIT bev-kiad'!D48+'4.17. GYMOS bev-kiad'!D48+'4.19. KER bev-kiad'!D48+'4.21. GAMESZ bev-kiad'!D48</f>
        <v>23002154</v>
      </c>
      <c r="E48" s="510">
        <f>'4.1.HSZI bev-kiad'!E50+'4.3. SZOCIFOGI bev-kiad'!E51+'4.5. CSILI bev-kiad'!E51+'4.7. MÚZ bev-kiad'!E48+'4.9. BAROSS bev-kiad'!E48+'4.11. GÉZ bev-kiad'!E48+'4.13. LUR bev-kiad'!E48+'4.15. NYIT bev-kiad'!E48+'4.17. GYMOS bev-kiad'!E48+'4.19. KER bev-kiad'!E48+'4.21. GAMESZ bev-kiad'!E48</f>
        <v>0</v>
      </c>
      <c r="F48" s="509">
        <f>'4.1.HSZI bev-kiad'!F50+'4.3. SZOCIFOGI bev-kiad'!F51+'4.5. CSILI bev-kiad'!F51+'4.7. MÚZ bev-kiad'!F48+'4.9. BAROSS bev-kiad'!F48+'4.11. GÉZ bev-kiad'!F48+'4.13. LUR bev-kiad'!F48+'4.15. NYIT bev-kiad'!F48+'4.17. GYMOS bev-kiad'!F48+'4.19. KER bev-kiad'!F48+'4.21. GAMESZ bev-kiad'!F48</f>
        <v>0</v>
      </c>
      <c r="G48" s="510">
        <f>'4.1.HSZI bev-kiad'!G50+'4.3. SZOCIFOGI bev-kiad'!G51+'4.5. CSILI bev-kiad'!G51+'4.7. MÚZ bev-kiad'!G48+'4.9. BAROSS bev-kiad'!G48+'4.11. GÉZ bev-kiad'!G48+'4.13. LUR bev-kiad'!G48+'4.15. NYIT bev-kiad'!G48+'4.17. GYMOS bev-kiad'!G48+'4.19. KER bev-kiad'!G48+'4.21. GAMESZ bev-kiad'!G48</f>
        <v>23002154</v>
      </c>
      <c r="H48" s="516">
        <f>G48/(C48*1000)</f>
        <v>0.68</v>
      </c>
    </row>
    <row r="49" spans="1:8" ht="13.5" thickBot="1">
      <c r="A49" s="276"/>
      <c r="B49" s="511" t="s">
        <v>164</v>
      </c>
      <c r="C49" s="512">
        <f>'4.1.HSZI bev-kiad'!C51+'4.3. SZOCIFOGI bev-kiad'!C52+'4.5. CSILI bev-kiad'!C52+'4.7. MÚZ bev-kiad'!C49+'4.9. BAROSS bev-kiad'!C49+'4.11. GÉZ bev-kiad'!C49+'4.13. LUR bev-kiad'!C49+'4.15. NYIT bev-kiad'!C49+'4.17. GYMOS bev-kiad'!C49+'4.19. KER bev-kiad'!C49+'4.21. GAMESZ bev-kiad'!C49</f>
        <v>4633873</v>
      </c>
      <c r="D49" s="512">
        <f>'4.1.HSZI bev-kiad'!D51+'4.3. SZOCIFOGI bev-kiad'!D52+'4.5. CSILI bev-kiad'!D52+'4.7. MÚZ bev-kiad'!D49+'4.9. BAROSS bev-kiad'!D49+'4.11. GÉZ bev-kiad'!D49+'4.13. LUR bev-kiad'!D49+'4.15. NYIT bev-kiad'!D49+'4.17. GYMOS bev-kiad'!D49+'4.19. KER bev-kiad'!D49+'4.21. GAMESZ bev-kiad'!D49</f>
        <v>4133098746</v>
      </c>
      <c r="E49" s="510">
        <f>'4.1.HSZI bev-kiad'!E51+'4.3. SZOCIFOGI bev-kiad'!E52+'4.5. CSILI bev-kiad'!E52+'4.7. MÚZ bev-kiad'!E49+'4.9. BAROSS bev-kiad'!E49+'4.11. GÉZ bev-kiad'!E49+'4.13. LUR bev-kiad'!E49+'4.15. NYIT bev-kiad'!E49+'4.17. GYMOS bev-kiad'!E49+'4.19. KER bev-kiad'!E49+'4.21. GAMESZ bev-kiad'!E49</f>
        <v>240386419</v>
      </c>
      <c r="F49" s="511">
        <f>'4.1.HSZI bev-kiad'!F51+'4.3. SZOCIFOGI bev-kiad'!F52+'4.5. CSILI bev-kiad'!F52+'4.7. MÚZ bev-kiad'!F49+'4.9. BAROSS bev-kiad'!F49+'4.11. GÉZ bev-kiad'!F49+'4.13. LUR bev-kiad'!F49+'4.15. NYIT bev-kiad'!F49+'4.17. GYMOS bev-kiad'!F49+'4.19. KER bev-kiad'!F49+'4.21. GAMESZ bev-kiad'!F49</f>
        <v>0</v>
      </c>
      <c r="G49" s="512">
        <f>'4.1.HSZI bev-kiad'!G51+'4.3. SZOCIFOGI bev-kiad'!G52+'4.5. CSILI bev-kiad'!G52+'4.7. MÚZ bev-kiad'!G49+'4.9. BAROSS bev-kiad'!G49+'4.11. GÉZ bev-kiad'!G49+'4.13. LUR bev-kiad'!G49+'4.15. NYIT bev-kiad'!G49+'4.17. GYMOS bev-kiad'!G49+'4.19. KER bev-kiad'!G49+'4.21. GAMESZ bev-kiad'!G49</f>
        <v>4373485165</v>
      </c>
      <c r="H49" s="514">
        <f>G49/(C49*1000)</f>
        <v>0.94</v>
      </c>
    </row>
  </sheetData>
  <sheetProtection/>
  <mergeCells count="10">
    <mergeCell ref="H1:H2"/>
    <mergeCell ref="A29:A30"/>
    <mergeCell ref="B29:B30"/>
    <mergeCell ref="C29:C30"/>
    <mergeCell ref="D29:G29"/>
    <mergeCell ref="H29:H30"/>
    <mergeCell ref="A1:A2"/>
    <mergeCell ref="D1:G1"/>
    <mergeCell ref="C1:C2"/>
    <mergeCell ref="B1:B2"/>
  </mergeCells>
  <printOptions horizontalCentered="1"/>
  <pageMargins left="0.3937007874015748" right="0.3937007874015748" top="0.7874015748031497" bottom="0.7874015748031497" header="0.3937007874015748" footer="0.3937007874015748"/>
  <pageSetup fitToHeight="2" orientation="landscape" paperSize="9" scale="95" r:id="rId1"/>
  <headerFooter alignWithMargins="0">
    <oddHeader>&amp;C&amp;"Times New Roman,Félkövér"INTÉZMÉNYI ÖSSZESÍTŐ
 2017. ÉVI BEVÉTELEI ÉS KIADÁSAI
&amp;R&amp;"Times New Roman,Félkövér"4. sz. melléklet&amp;"MS Sans Serif,Normál"
</oddHeader>
  </headerFooter>
  <rowBreaks count="1" manualBreakCount="1">
    <brk id="28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10"/>
  <dimension ref="A1:I51"/>
  <sheetViews>
    <sheetView zoomScalePageLayoutView="0" workbookViewId="0" topLeftCell="A1">
      <pane xSplit="2" ySplit="2" topLeftCell="C14" activePane="bottomRight" state="frozen"/>
      <selection pane="topLeft" activeCell="A5" sqref="A5"/>
      <selection pane="topRight" activeCell="A5" sqref="A5"/>
      <selection pane="bottomLeft" activeCell="A5" sqref="A5"/>
      <selection pane="bottomRight" activeCell="H14" sqref="H14:H15"/>
    </sheetView>
  </sheetViews>
  <sheetFormatPr defaultColWidth="9.140625" defaultRowHeight="12.75"/>
  <cols>
    <col min="1" max="1" width="9.140625" style="1147" customWidth="1"/>
    <col min="2" max="2" width="54.7109375" style="1147" customWidth="1"/>
    <col min="3" max="3" width="14.28125" style="1146" customWidth="1"/>
    <col min="4" max="4" width="17.28125" style="1146" bestFit="1" customWidth="1"/>
    <col min="5" max="5" width="15.8515625" style="1146" customWidth="1"/>
    <col min="6" max="6" width="16.00390625" style="1146" customWidth="1"/>
    <col min="7" max="7" width="17.28125" style="1146" bestFit="1" customWidth="1"/>
    <col min="8" max="8" width="14.28125" style="1147" customWidth="1"/>
    <col min="9" max="9" width="14.140625" style="1146" customWidth="1"/>
    <col min="10" max="10" width="12.421875" style="1147" customWidth="1"/>
    <col min="11" max="11" width="10.00390625" style="1147" customWidth="1"/>
    <col min="12" max="16384" width="9.140625" style="1147" customWidth="1"/>
  </cols>
  <sheetData>
    <row r="1" spans="1:8" ht="13.5" customHeight="1">
      <c r="A1" s="1844" t="s">
        <v>523</v>
      </c>
      <c r="B1" s="1926" t="s">
        <v>1182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8" ht="42" customHeight="1" thickBot="1">
      <c r="A2" s="1845"/>
      <c r="B2" s="192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9" s="1386" customFormat="1" ht="31.5">
      <c r="A3" s="1381" t="s">
        <v>185</v>
      </c>
      <c r="B3" s="1410" t="s">
        <v>186</v>
      </c>
      <c r="C3" s="1383">
        <v>202174</v>
      </c>
      <c r="D3" s="1383">
        <v>217494600</v>
      </c>
      <c r="E3" s="1383">
        <v>16000000</v>
      </c>
      <c r="F3" s="1383">
        <f>+F4</f>
        <v>0</v>
      </c>
      <c r="G3" s="1383">
        <f>SUM(D3:F3)</f>
        <v>233494600</v>
      </c>
      <c r="H3" s="1384">
        <f>G3/(C3*1000)</f>
        <v>1.15</v>
      </c>
      <c r="I3" s="1385"/>
    </row>
    <row r="4" spans="1:9" s="1386" customFormat="1" ht="28.5" customHeight="1">
      <c r="A4" s="1387"/>
      <c r="B4" s="1388" t="s">
        <v>948</v>
      </c>
      <c r="C4" s="1389">
        <v>202174</v>
      </c>
      <c r="D4" s="1389">
        <v>217494600</v>
      </c>
      <c r="E4" s="1389">
        <v>16000000</v>
      </c>
      <c r="F4" s="1389"/>
      <c r="G4" s="1389">
        <f>SUM(D4:F4)</f>
        <v>233494600</v>
      </c>
      <c r="H4" s="1390">
        <f>G4/(C4*1000)</f>
        <v>1.15</v>
      </c>
      <c r="I4" s="1385"/>
    </row>
    <row r="5" spans="1:9" s="1386" customFormat="1" ht="31.5">
      <c r="A5" s="1387" t="s">
        <v>187</v>
      </c>
      <c r="B5" s="1410" t="s">
        <v>145</v>
      </c>
      <c r="C5" s="1392"/>
      <c r="D5" s="1392"/>
      <c r="E5" s="1392"/>
      <c r="F5" s="1392"/>
      <c r="G5" s="1392">
        <f>SUM(D5:F5)</f>
        <v>0</v>
      </c>
      <c r="H5" s="1393"/>
      <c r="I5" s="1385"/>
    </row>
    <row r="6" spans="1:9" s="1386" customFormat="1" ht="19.5" customHeight="1">
      <c r="A6" s="1387" t="s">
        <v>193</v>
      </c>
      <c r="B6" s="1391" t="s">
        <v>148</v>
      </c>
      <c r="C6" s="1392"/>
      <c r="D6" s="1392"/>
      <c r="E6" s="1392"/>
      <c r="F6" s="1392"/>
      <c r="G6" s="1392">
        <f aca="true" t="shared" si="0" ref="G6:G21">SUM(D6:F6)</f>
        <v>0</v>
      </c>
      <c r="H6" s="1393"/>
      <c r="I6" s="1385"/>
    </row>
    <row r="7" spans="1:9" s="1386" customFormat="1" ht="19.5" customHeight="1">
      <c r="A7" s="1387" t="s">
        <v>469</v>
      </c>
      <c r="B7" s="1391" t="s">
        <v>664</v>
      </c>
      <c r="C7" s="1392">
        <v>137399</v>
      </c>
      <c r="D7" s="1392">
        <v>101913351</v>
      </c>
      <c r="E7" s="1392">
        <v>22254908</v>
      </c>
      <c r="F7" s="1392"/>
      <c r="G7" s="1392">
        <f t="shared" si="0"/>
        <v>124168259</v>
      </c>
      <c r="H7" s="1393">
        <f>G7/(C7*1000)</f>
        <v>0.9</v>
      </c>
      <c r="I7" s="1385"/>
    </row>
    <row r="8" spans="1:9" s="1386" customFormat="1" ht="19.5" customHeight="1">
      <c r="A8" s="1387" t="s">
        <v>486</v>
      </c>
      <c r="B8" s="1391" t="s">
        <v>663</v>
      </c>
      <c r="C8" s="1392"/>
      <c r="D8" s="1392"/>
      <c r="E8" s="1392"/>
      <c r="F8" s="1392"/>
      <c r="G8" s="1392"/>
      <c r="H8" s="1393"/>
      <c r="I8" s="1385"/>
    </row>
    <row r="9" spans="1:9" s="1386" customFormat="1" ht="19.5" customHeight="1">
      <c r="A9" s="1387" t="s">
        <v>471</v>
      </c>
      <c r="B9" s="1391" t="s">
        <v>475</v>
      </c>
      <c r="C9" s="1392"/>
      <c r="D9" s="1392"/>
      <c r="E9" s="1392"/>
      <c r="F9" s="1392"/>
      <c r="G9" s="1392"/>
      <c r="H9" s="1393"/>
      <c r="I9" s="1385"/>
    </row>
    <row r="10" spans="1:9" s="1386" customFormat="1" ht="19.5" customHeight="1" thickBot="1">
      <c r="A10" s="1394" t="s">
        <v>473</v>
      </c>
      <c r="B10" s="1395" t="s">
        <v>474</v>
      </c>
      <c r="C10" s="1396"/>
      <c r="D10" s="1396"/>
      <c r="E10" s="1396"/>
      <c r="F10" s="1396"/>
      <c r="G10" s="1396"/>
      <c r="H10" s="1397"/>
      <c r="I10" s="1385"/>
    </row>
    <row r="11" spans="1:9" s="1399" customFormat="1" ht="15" customHeight="1" thickBot="1">
      <c r="A11" s="782" t="s">
        <v>476</v>
      </c>
      <c r="B11" s="783" t="s">
        <v>286</v>
      </c>
      <c r="C11" s="784">
        <f>C3+C5+C6+C7+C8+C9+C10</f>
        <v>339573</v>
      </c>
      <c r="D11" s="784">
        <f>D3+D5+D6+D7+D8+D9+D10</f>
        <v>319407951</v>
      </c>
      <c r="E11" s="784">
        <f>E3+E5+E6+E7+E8+E9+E10</f>
        <v>38254908</v>
      </c>
      <c r="F11" s="784">
        <f>F3+F5+F6+F7+F8+F9+F10</f>
        <v>0</v>
      </c>
      <c r="G11" s="1139">
        <f t="shared" si="0"/>
        <v>357662859</v>
      </c>
      <c r="H11" s="786">
        <f>G11/(C11*1000)</f>
        <v>1.05</v>
      </c>
      <c r="I11" s="1398"/>
    </row>
    <row r="12" spans="1:9" s="1386" customFormat="1" ht="24.75" customHeight="1">
      <c r="A12" s="1381" t="s">
        <v>477</v>
      </c>
      <c r="B12" s="1382" t="s">
        <v>478</v>
      </c>
      <c r="C12" s="1383">
        <f>+C13</f>
        <v>948566</v>
      </c>
      <c r="D12" s="1383">
        <f>+D13</f>
        <v>956913958</v>
      </c>
      <c r="E12" s="1383">
        <f>+E13</f>
        <v>55307008</v>
      </c>
      <c r="F12" s="1383">
        <f>+F13</f>
        <v>0</v>
      </c>
      <c r="G12" s="1383">
        <f>+G13</f>
        <v>1012220966</v>
      </c>
      <c r="H12" s="1384">
        <f>G12/(C12*1000)</f>
        <v>1.07</v>
      </c>
      <c r="I12" s="1385"/>
    </row>
    <row r="13" spans="1:9" s="1405" customFormat="1" ht="15" customHeight="1">
      <c r="A13" s="1400" t="s">
        <v>483</v>
      </c>
      <c r="B13" s="1401" t="s">
        <v>484</v>
      </c>
      <c r="C13" s="1402">
        <f>+C14+C18</f>
        <v>948566</v>
      </c>
      <c r="D13" s="1402">
        <f>+D14+D18</f>
        <v>956913958</v>
      </c>
      <c r="E13" s="1402">
        <f>+E14+E18</f>
        <v>55307008</v>
      </c>
      <c r="F13" s="1402">
        <f>+F14+F18</f>
        <v>0</v>
      </c>
      <c r="G13" s="1402">
        <f t="shared" si="0"/>
        <v>1012220966</v>
      </c>
      <c r="H13" s="1403">
        <f>G13/(C13*1000)</f>
        <v>1.07</v>
      </c>
      <c r="I13" s="1404"/>
    </row>
    <row r="14" spans="1:9" s="1399" customFormat="1" ht="15" customHeight="1">
      <c r="A14" s="1160" t="s">
        <v>479</v>
      </c>
      <c r="B14" s="1166" t="s">
        <v>480</v>
      </c>
      <c r="C14" s="1167">
        <f>+C15+C17</f>
        <v>16569</v>
      </c>
      <c r="D14" s="1167">
        <f>+D15+D17</f>
        <v>14771592</v>
      </c>
      <c r="E14" s="1167">
        <f>+E15+E17</f>
        <v>0</v>
      </c>
      <c r="F14" s="1167">
        <f>+F15+F17</f>
        <v>0</v>
      </c>
      <c r="G14" s="1162">
        <f>SUM(D14:F14)</f>
        <v>14771592</v>
      </c>
      <c r="H14" s="1168">
        <f>G14/(C14*1000)</f>
        <v>0.89</v>
      </c>
      <c r="I14" s="1398"/>
    </row>
    <row r="15" spans="1:9" s="1399" customFormat="1" ht="15" customHeight="1">
      <c r="A15" s="809"/>
      <c r="B15" s="1148" t="s">
        <v>241</v>
      </c>
      <c r="C15" s="811">
        <v>16569</v>
      </c>
      <c r="D15" s="811">
        <v>14771592</v>
      </c>
      <c r="E15" s="811"/>
      <c r="F15" s="811"/>
      <c r="G15" s="811">
        <f t="shared" si="0"/>
        <v>14771592</v>
      </c>
      <c r="H15" s="1169">
        <f>G15/(C15*1000)</f>
        <v>0.89</v>
      </c>
      <c r="I15" s="1398"/>
    </row>
    <row r="16" spans="1:9" s="1399" customFormat="1" ht="31.5">
      <c r="A16" s="809"/>
      <c r="B16" s="1388" t="s">
        <v>1181</v>
      </c>
      <c r="C16" s="811"/>
      <c r="D16" s="811">
        <v>9709804</v>
      </c>
      <c r="E16" s="811"/>
      <c r="F16" s="811"/>
      <c r="G16" s="811">
        <f t="shared" si="0"/>
        <v>9709804</v>
      </c>
      <c r="H16" s="1169"/>
      <c r="I16" s="1398"/>
    </row>
    <row r="17" spans="1:9" s="1399" customFormat="1" ht="15" customHeight="1">
      <c r="A17" s="809"/>
      <c r="B17" s="1148" t="s">
        <v>242</v>
      </c>
      <c r="C17" s="811"/>
      <c r="D17" s="811"/>
      <c r="E17" s="811"/>
      <c r="F17" s="811"/>
      <c r="G17" s="811">
        <f t="shared" si="0"/>
        <v>0</v>
      </c>
      <c r="H17" s="1169"/>
      <c r="I17" s="1398"/>
    </row>
    <row r="18" spans="1:9" s="1407" customFormat="1" ht="21" customHeight="1">
      <c r="A18" s="1160" t="s">
        <v>665</v>
      </c>
      <c r="B18" s="1161" t="s">
        <v>666</v>
      </c>
      <c r="C18" s="1162">
        <f>SUM(C19:C20)</f>
        <v>931997</v>
      </c>
      <c r="D18" s="1162">
        <f>SUM(D19:D20)</f>
        <v>942142366</v>
      </c>
      <c r="E18" s="1162">
        <f>SUM(E19:E20)</f>
        <v>55307008</v>
      </c>
      <c r="F18" s="1162">
        <f>SUM(F19:F20)</f>
        <v>0</v>
      </c>
      <c r="G18" s="793">
        <f>SUM(D18:F18)</f>
        <v>997449374</v>
      </c>
      <c r="H18" s="1163">
        <f>G18/(C18*1000)</f>
        <v>1.07</v>
      </c>
      <c r="I18" s="1406"/>
    </row>
    <row r="19" spans="1:9" s="1399" customFormat="1" ht="15" customHeight="1">
      <c r="A19" s="1171"/>
      <c r="B19" s="1172" t="s">
        <v>667</v>
      </c>
      <c r="C19" s="717">
        <v>913066</v>
      </c>
      <c r="D19" s="717">
        <v>932142366</v>
      </c>
      <c r="E19" s="717">
        <v>55307008</v>
      </c>
      <c r="F19" s="717"/>
      <c r="G19" s="797">
        <f t="shared" si="0"/>
        <v>987449374</v>
      </c>
      <c r="H19" s="1173">
        <f>G19/(C19*1000)</f>
        <v>1.08</v>
      </c>
      <c r="I19" s="1398"/>
    </row>
    <row r="20" spans="1:9" s="1399" customFormat="1" ht="15" customHeight="1" thickBot="1">
      <c r="A20" s="1171"/>
      <c r="B20" s="1172" t="s">
        <v>668</v>
      </c>
      <c r="C20" s="717">
        <v>18931</v>
      </c>
      <c r="D20" s="717">
        <v>10000000</v>
      </c>
      <c r="E20" s="717"/>
      <c r="F20" s="717"/>
      <c r="G20" s="797">
        <f t="shared" si="0"/>
        <v>10000000</v>
      </c>
      <c r="H20" s="1173">
        <f>G20/(C20*1000)</f>
        <v>0.53</v>
      </c>
      <c r="I20" s="1398"/>
    </row>
    <row r="21" spans="1:8" s="1135" customFormat="1" ht="24.75" customHeight="1" thickBot="1">
      <c r="A21" s="1141"/>
      <c r="B21" s="1142" t="s">
        <v>78</v>
      </c>
      <c r="C21" s="1408">
        <f>C11+C12</f>
        <v>1288139</v>
      </c>
      <c r="D21" s="1408">
        <f>D11+D12</f>
        <v>1276321909</v>
      </c>
      <c r="E21" s="1408">
        <f>E11+E12</f>
        <v>93561916</v>
      </c>
      <c r="F21" s="1409">
        <f>F11+F12</f>
        <v>0</v>
      </c>
      <c r="G21" s="1408">
        <f t="shared" si="0"/>
        <v>1369883825</v>
      </c>
      <c r="H21" s="1144">
        <f>G21/(C21*1000)</f>
        <v>1.06</v>
      </c>
    </row>
    <row r="22" spans="1:8" ht="16.5" thickBot="1">
      <c r="A22" s="1140"/>
      <c r="B22" s="1140"/>
      <c r="C22" s="1140"/>
      <c r="D22" s="1140"/>
      <c r="E22" s="1140"/>
      <c r="F22" s="1140"/>
      <c r="G22" s="1140"/>
      <c r="H22" s="1140"/>
    </row>
    <row r="23" spans="1:8" ht="13.5" customHeight="1">
      <c r="A23" s="805"/>
      <c r="B23" s="806" t="s">
        <v>549</v>
      </c>
      <c r="C23" s="807">
        <f>C3+C6+C7+C9</f>
        <v>339573</v>
      </c>
      <c r="D23" s="807">
        <f>D3+D6+D7+D9</f>
        <v>319407951</v>
      </c>
      <c r="E23" s="807">
        <f>E3+E6+E7+E9</f>
        <v>38254908</v>
      </c>
      <c r="F23" s="807">
        <f>F3+F6+F7+F9</f>
        <v>0</v>
      </c>
      <c r="G23" s="807">
        <f>SUM(D23:F23)</f>
        <v>357662859</v>
      </c>
      <c r="H23" s="808">
        <f aca="true" t="shared" si="1" ref="H23:H29">G23/(C23*1000)</f>
        <v>1.05</v>
      </c>
    </row>
    <row r="24" spans="1:8" ht="15.75">
      <c r="A24" s="809"/>
      <c r="B24" s="810" t="s">
        <v>550</v>
      </c>
      <c r="C24" s="811">
        <f>C5+C8+C10</f>
        <v>0</v>
      </c>
      <c r="D24" s="811">
        <f>D5+D8+D10</f>
        <v>0</v>
      </c>
      <c r="E24" s="811">
        <f>E5+E8+E10</f>
        <v>0</v>
      </c>
      <c r="F24" s="811">
        <f>F5+F8+F10</f>
        <v>0</v>
      </c>
      <c r="G24" s="811">
        <f aca="true" t="shared" si="2" ref="G24:G29">SUM(D24:F24)</f>
        <v>0</v>
      </c>
      <c r="H24" s="812"/>
    </row>
    <row r="25" spans="1:8" ht="15.75">
      <c r="A25" s="809"/>
      <c r="B25" s="810" t="s">
        <v>551</v>
      </c>
      <c r="C25" s="811">
        <f>C15+C19</f>
        <v>929635</v>
      </c>
      <c r="D25" s="811">
        <f>D15+D19</f>
        <v>946913958</v>
      </c>
      <c r="E25" s="811">
        <f>E15+E19</f>
        <v>55307008</v>
      </c>
      <c r="F25" s="811">
        <f>F15+F19</f>
        <v>0</v>
      </c>
      <c r="G25" s="811">
        <f t="shared" si="2"/>
        <v>1002220966</v>
      </c>
      <c r="H25" s="812">
        <f t="shared" si="1"/>
        <v>1.08</v>
      </c>
    </row>
    <row r="26" spans="1:8" ht="16.5" thickBot="1">
      <c r="A26" s="813"/>
      <c r="B26" s="814" t="s">
        <v>552</v>
      </c>
      <c r="C26" s="815">
        <f>C17+C20</f>
        <v>18931</v>
      </c>
      <c r="D26" s="815">
        <f>D17+D20</f>
        <v>10000000</v>
      </c>
      <c r="E26" s="815">
        <f>E17+E20</f>
        <v>0</v>
      </c>
      <c r="F26" s="815">
        <f>F17+F20</f>
        <v>0</v>
      </c>
      <c r="G26" s="815">
        <f t="shared" si="2"/>
        <v>10000000</v>
      </c>
      <c r="H26" s="816">
        <f t="shared" si="1"/>
        <v>0.53</v>
      </c>
    </row>
    <row r="27" spans="1:8" ht="15.75">
      <c r="A27" s="805"/>
      <c r="B27" s="806" t="s">
        <v>553</v>
      </c>
      <c r="C27" s="807">
        <f>C23+C25</f>
        <v>1269208</v>
      </c>
      <c r="D27" s="807">
        <f aca="true" t="shared" si="3" ref="D27:F28">D23+D25</f>
        <v>1266321909</v>
      </c>
      <c r="E27" s="807">
        <f t="shared" si="3"/>
        <v>93561916</v>
      </c>
      <c r="F27" s="807">
        <f t="shared" si="3"/>
        <v>0</v>
      </c>
      <c r="G27" s="807">
        <f t="shared" si="2"/>
        <v>1359883825</v>
      </c>
      <c r="H27" s="808">
        <f t="shared" si="1"/>
        <v>1.07</v>
      </c>
    </row>
    <row r="28" spans="1:8" ht="16.5" thickBot="1">
      <c r="A28" s="1416"/>
      <c r="B28" s="1417" t="s">
        <v>554</v>
      </c>
      <c r="C28" s="1175">
        <f>C24+C26</f>
        <v>18931</v>
      </c>
      <c r="D28" s="1175">
        <f t="shared" si="3"/>
        <v>10000000</v>
      </c>
      <c r="E28" s="1175">
        <f t="shared" si="3"/>
        <v>0</v>
      </c>
      <c r="F28" s="1175">
        <f t="shared" si="3"/>
        <v>0</v>
      </c>
      <c r="G28" s="1175">
        <f t="shared" si="2"/>
        <v>10000000</v>
      </c>
      <c r="H28" s="1418">
        <f t="shared" si="1"/>
        <v>0.53</v>
      </c>
    </row>
    <row r="29" spans="1:8" ht="16.5" thickBot="1">
      <c r="A29" s="825"/>
      <c r="B29" s="826" t="s">
        <v>555</v>
      </c>
      <c r="C29" s="1419">
        <f>C27+C28</f>
        <v>1288139</v>
      </c>
      <c r="D29" s="1419">
        <f>D27+D28</f>
        <v>1276321909</v>
      </c>
      <c r="E29" s="1419">
        <f>E27+E28</f>
        <v>93561916</v>
      </c>
      <c r="F29" s="1419">
        <f>F27+F28</f>
        <v>0</v>
      </c>
      <c r="G29" s="1419">
        <f t="shared" si="2"/>
        <v>1369883825</v>
      </c>
      <c r="H29" s="828">
        <f t="shared" si="1"/>
        <v>1.06</v>
      </c>
    </row>
    <row r="30" ht="16.5" thickBot="1"/>
    <row r="31" spans="1:8" ht="13.5" customHeight="1">
      <c r="A31" s="1904" t="s">
        <v>523</v>
      </c>
      <c r="B31" s="1906" t="s">
        <v>1183</v>
      </c>
      <c r="C31" s="1854" t="s">
        <v>1065</v>
      </c>
      <c r="D31" s="1851" t="s">
        <v>1050</v>
      </c>
      <c r="E31" s="1852"/>
      <c r="F31" s="1852"/>
      <c r="G31" s="1853"/>
      <c r="H31" s="1848" t="s">
        <v>1051</v>
      </c>
    </row>
    <row r="32" spans="1:8" ht="48" thickBot="1">
      <c r="A32" s="1905"/>
      <c r="B32" s="1907"/>
      <c r="C32" s="1855"/>
      <c r="D32" s="1136" t="s">
        <v>287</v>
      </c>
      <c r="E32" s="1136" t="s">
        <v>795</v>
      </c>
      <c r="F32" s="1136" t="s">
        <v>796</v>
      </c>
      <c r="G32" s="1136" t="s">
        <v>65</v>
      </c>
      <c r="H32" s="1849"/>
    </row>
    <row r="33" spans="1:9" s="1386" customFormat="1" ht="24.75" customHeight="1">
      <c r="A33" s="1381" t="s">
        <v>104</v>
      </c>
      <c r="B33" s="1382" t="s">
        <v>105</v>
      </c>
      <c r="C33" s="1383">
        <v>709923</v>
      </c>
      <c r="D33" s="1383">
        <v>758472270</v>
      </c>
      <c r="E33" s="1383">
        <v>68508754</v>
      </c>
      <c r="F33" s="1383"/>
      <c r="G33" s="1383">
        <f>SUM(D33:F33)</f>
        <v>826981024</v>
      </c>
      <c r="H33" s="1384">
        <f>G33/(C33*1000)</f>
        <v>1.16</v>
      </c>
      <c r="I33" s="1385"/>
    </row>
    <row r="34" spans="1:9" s="1386" customFormat="1" ht="31.5">
      <c r="A34" s="1387" t="s">
        <v>106</v>
      </c>
      <c r="B34" s="1410" t="s">
        <v>107</v>
      </c>
      <c r="C34" s="1392">
        <v>198150</v>
      </c>
      <c r="D34" s="1392">
        <v>186041280</v>
      </c>
      <c r="E34" s="1392">
        <v>2798254</v>
      </c>
      <c r="F34" s="1392"/>
      <c r="G34" s="1392">
        <f>SUM(D34:F34)</f>
        <v>188839534</v>
      </c>
      <c r="H34" s="1393">
        <f>G34/(C34*1000)</f>
        <v>0.95</v>
      </c>
      <c r="I34" s="1385"/>
    </row>
    <row r="35" spans="1:9" s="1386" customFormat="1" ht="24.75" customHeight="1">
      <c r="A35" s="1387" t="s">
        <v>108</v>
      </c>
      <c r="B35" s="1391" t="s">
        <v>109</v>
      </c>
      <c r="C35" s="1392">
        <v>360335</v>
      </c>
      <c r="D35" s="1392">
        <v>320998359</v>
      </c>
      <c r="E35" s="1392">
        <v>22254908</v>
      </c>
      <c r="F35" s="1392"/>
      <c r="G35" s="1392">
        <f>SUM(D35:F35)</f>
        <v>343253267</v>
      </c>
      <c r="H35" s="1393">
        <f>G35/(C35*1000)</f>
        <v>0.95</v>
      </c>
      <c r="I35" s="1385"/>
    </row>
    <row r="36" spans="1:9" s="1386" customFormat="1" ht="24.75" customHeight="1">
      <c r="A36" s="1387" t="s">
        <v>110</v>
      </c>
      <c r="B36" s="1391" t="s">
        <v>111</v>
      </c>
      <c r="C36" s="1392">
        <v>800</v>
      </c>
      <c r="D36" s="1392">
        <v>810000</v>
      </c>
      <c r="E36" s="1392"/>
      <c r="F36" s="1392"/>
      <c r="G36" s="1392">
        <f>SUM(D36:F36)</f>
        <v>810000</v>
      </c>
      <c r="H36" s="1393">
        <f>G36/(C36*1000)</f>
        <v>1.01</v>
      </c>
      <c r="I36" s="1385"/>
    </row>
    <row r="37" spans="1:9" s="1386" customFormat="1" ht="24.75" customHeight="1">
      <c r="A37" s="1387" t="s">
        <v>112</v>
      </c>
      <c r="B37" s="1391" t="s">
        <v>113</v>
      </c>
      <c r="C37" s="1392"/>
      <c r="D37" s="1392"/>
      <c r="E37" s="1392"/>
      <c r="F37" s="1392"/>
      <c r="G37" s="1392">
        <f>SUM(D37:F37)</f>
        <v>0</v>
      </c>
      <c r="H37" s="1393"/>
      <c r="I37" s="1385"/>
    </row>
    <row r="38" spans="1:9" s="1386" customFormat="1" ht="24.75" customHeight="1">
      <c r="A38" s="1387" t="s">
        <v>548</v>
      </c>
      <c r="B38" s="1391" t="s">
        <v>121</v>
      </c>
      <c r="C38" s="1392">
        <v>18931</v>
      </c>
      <c r="D38" s="1392">
        <v>10000000</v>
      </c>
      <c r="E38" s="1392"/>
      <c r="F38" s="1392"/>
      <c r="G38" s="1392">
        <f aca="true" t="shared" si="4" ref="G38:G43">SUM(D38:F38)</f>
        <v>10000000</v>
      </c>
      <c r="H38" s="1393">
        <f>G38/(C38*1000)</f>
        <v>0.53</v>
      </c>
      <c r="I38" s="1385"/>
    </row>
    <row r="39" spans="1:9" s="1386" customFormat="1" ht="24.75" customHeight="1">
      <c r="A39" s="1387" t="s">
        <v>122</v>
      </c>
      <c r="B39" s="1391" t="s">
        <v>123</v>
      </c>
      <c r="C39" s="1392"/>
      <c r="D39" s="1392"/>
      <c r="E39" s="1392"/>
      <c r="F39" s="1392"/>
      <c r="G39" s="1392">
        <f t="shared" si="4"/>
        <v>0</v>
      </c>
      <c r="H39" s="1393"/>
      <c r="I39" s="1385"/>
    </row>
    <row r="40" spans="1:9" s="1386" customFormat="1" ht="24.75" customHeight="1" thickBot="1">
      <c r="A40" s="1394" t="s">
        <v>124</v>
      </c>
      <c r="B40" s="1395" t="s">
        <v>125</v>
      </c>
      <c r="C40" s="1396"/>
      <c r="D40" s="1396"/>
      <c r="E40" s="1396"/>
      <c r="F40" s="1396"/>
      <c r="G40" s="1396">
        <f t="shared" si="4"/>
        <v>0</v>
      </c>
      <c r="H40" s="1411"/>
      <c r="I40" s="1385"/>
    </row>
    <row r="41" spans="1:8" ht="16.5" thickBot="1">
      <c r="A41" s="782" t="s">
        <v>138</v>
      </c>
      <c r="B41" s="783" t="s">
        <v>139</v>
      </c>
      <c r="C41" s="784">
        <f>C33+C34+C35+C36+C37+C38+C39+C40</f>
        <v>1288139</v>
      </c>
      <c r="D41" s="784">
        <f>D33+D34+D35+D36+D37+D38+D39+D40</f>
        <v>1276321909</v>
      </c>
      <c r="E41" s="784">
        <f>E33+E34+E35+E36+E37+E38+E39+E40</f>
        <v>93561916</v>
      </c>
      <c r="F41" s="784">
        <f>F33+F34+F35+F36+F37+F38+F39+F40</f>
        <v>0</v>
      </c>
      <c r="G41" s="1139">
        <f t="shared" si="4"/>
        <v>1369883825</v>
      </c>
      <c r="H41" s="786">
        <f>G41/(C41*1000)</f>
        <v>1.06</v>
      </c>
    </row>
    <row r="42" spans="1:9" s="1386" customFormat="1" ht="24.75" customHeight="1" thickBot="1">
      <c r="A42" s="1412" t="s">
        <v>129</v>
      </c>
      <c r="B42" s="1413" t="s">
        <v>130</v>
      </c>
      <c r="C42" s="1414"/>
      <c r="D42" s="1414"/>
      <c r="E42" s="1414"/>
      <c r="F42" s="1414"/>
      <c r="G42" s="1414">
        <f t="shared" si="4"/>
        <v>0</v>
      </c>
      <c r="H42" s="1415"/>
      <c r="I42" s="1385"/>
    </row>
    <row r="43" spans="1:8" s="1135" customFormat="1" ht="24.75" customHeight="1" thickBot="1">
      <c r="A43" s="1141"/>
      <c r="B43" s="1142" t="s">
        <v>77</v>
      </c>
      <c r="C43" s="1408">
        <f>C42+C41</f>
        <v>1288139</v>
      </c>
      <c r="D43" s="1408">
        <f>D42+D41</f>
        <v>1276321909</v>
      </c>
      <c r="E43" s="1408">
        <f>E42+E41</f>
        <v>93561916</v>
      </c>
      <c r="F43" s="1409">
        <f>F42+F41</f>
        <v>0</v>
      </c>
      <c r="G43" s="1408">
        <f t="shared" si="4"/>
        <v>1369883825</v>
      </c>
      <c r="H43" s="1144">
        <f>G43/(C43*1000)</f>
        <v>1.06</v>
      </c>
    </row>
    <row r="44" spans="1:8" ht="16.5" thickBot="1">
      <c r="A44" s="800"/>
      <c r="B44" s="801"/>
      <c r="C44" s="802"/>
      <c r="D44" s="802"/>
      <c r="E44" s="802"/>
      <c r="F44" s="803"/>
      <c r="G44" s="803"/>
      <c r="H44" s="804"/>
    </row>
    <row r="45" spans="1:8" ht="15.75">
      <c r="A45" s="805"/>
      <c r="B45" s="806" t="s">
        <v>158</v>
      </c>
      <c r="C45" s="807">
        <f>C33+C34+C35+C36+C37</f>
        <v>1269208</v>
      </c>
      <c r="D45" s="807">
        <f>D33+D34+D35+D36+D37</f>
        <v>1266321909</v>
      </c>
      <c r="E45" s="807">
        <f>E33+E34+E35+E36+E37</f>
        <v>93561916</v>
      </c>
      <c r="F45" s="807">
        <f>F33+F34+F35+F36+F37</f>
        <v>0</v>
      </c>
      <c r="G45" s="807">
        <f>SUM(D45:F45)</f>
        <v>1359883825</v>
      </c>
      <c r="H45" s="808">
        <f>G45/(C45*1000)</f>
        <v>1.07</v>
      </c>
    </row>
    <row r="46" spans="1:8" ht="15.75">
      <c r="A46" s="809"/>
      <c r="B46" s="810" t="s">
        <v>159</v>
      </c>
      <c r="C46" s="811">
        <f>C38+C39+C40</f>
        <v>18931</v>
      </c>
      <c r="D46" s="811">
        <f>D38+D39+D40</f>
        <v>10000000</v>
      </c>
      <c r="E46" s="811">
        <f>E38+E39+E40</f>
        <v>0</v>
      </c>
      <c r="F46" s="811">
        <f>F38+F39+F40</f>
        <v>0</v>
      </c>
      <c r="G46" s="811">
        <f aca="true" t="shared" si="5" ref="G46:G51">SUM(D46:F46)</f>
        <v>10000000</v>
      </c>
      <c r="H46" s="812">
        <f>G46/(C46*1000)</f>
        <v>0.53</v>
      </c>
    </row>
    <row r="47" spans="1:8" ht="15.75">
      <c r="A47" s="809"/>
      <c r="B47" s="810" t="s">
        <v>160</v>
      </c>
      <c r="C47" s="811">
        <f>C42</f>
        <v>0</v>
      </c>
      <c r="D47" s="811">
        <f>D42</f>
        <v>0</v>
      </c>
      <c r="E47" s="811">
        <f>E42</f>
        <v>0</v>
      </c>
      <c r="F47" s="811">
        <f>F42</f>
        <v>0</v>
      </c>
      <c r="G47" s="811">
        <f t="shared" si="5"/>
        <v>0</v>
      </c>
      <c r="H47" s="812"/>
    </row>
    <row r="48" spans="1:8" ht="16.5" thickBot="1">
      <c r="A48" s="813"/>
      <c r="B48" s="814" t="s">
        <v>161</v>
      </c>
      <c r="C48" s="815">
        <f>C42</f>
        <v>0</v>
      </c>
      <c r="D48" s="815">
        <f>D42</f>
        <v>0</v>
      </c>
      <c r="E48" s="815">
        <f>E42</f>
        <v>0</v>
      </c>
      <c r="F48" s="815">
        <f>F42</f>
        <v>0</v>
      </c>
      <c r="G48" s="815">
        <f>G42</f>
        <v>0</v>
      </c>
      <c r="H48" s="816"/>
    </row>
    <row r="49" spans="1:8" ht="15.75">
      <c r="A49" s="817"/>
      <c r="B49" s="818" t="s">
        <v>162</v>
      </c>
      <c r="C49" s="819">
        <f aca="true" t="shared" si="6" ref="C49:F50">C45+C47</f>
        <v>1269208</v>
      </c>
      <c r="D49" s="819">
        <f t="shared" si="6"/>
        <v>1266321909</v>
      </c>
      <c r="E49" s="819">
        <f t="shared" si="6"/>
        <v>93561916</v>
      </c>
      <c r="F49" s="818">
        <f t="shared" si="6"/>
        <v>0</v>
      </c>
      <c r="G49" s="819">
        <f t="shared" si="5"/>
        <v>1359883825</v>
      </c>
      <c r="H49" s="820">
        <f>G49/(C49*1000)</f>
        <v>1.07</v>
      </c>
    </row>
    <row r="50" spans="1:8" ht="16.5" thickBot="1">
      <c r="A50" s="821"/>
      <c r="B50" s="822" t="s">
        <v>163</v>
      </c>
      <c r="C50" s="823">
        <f t="shared" si="6"/>
        <v>18931</v>
      </c>
      <c r="D50" s="823">
        <f t="shared" si="6"/>
        <v>10000000</v>
      </c>
      <c r="E50" s="823">
        <f t="shared" si="6"/>
        <v>0</v>
      </c>
      <c r="F50" s="822">
        <f t="shared" si="6"/>
        <v>0</v>
      </c>
      <c r="G50" s="823">
        <f t="shared" si="5"/>
        <v>10000000</v>
      </c>
      <c r="H50" s="824">
        <f>G50/(C50*1000)</f>
        <v>0.53</v>
      </c>
    </row>
    <row r="51" spans="1:9" ht="16.5" thickBot="1">
      <c r="A51" s="825"/>
      <c r="B51" s="826" t="s">
        <v>164</v>
      </c>
      <c r="C51" s="827">
        <f>C49+C50</f>
        <v>1288139</v>
      </c>
      <c r="D51" s="827">
        <f>D49+D50</f>
        <v>1276321909</v>
      </c>
      <c r="E51" s="827">
        <f>E49+E50</f>
        <v>93561916</v>
      </c>
      <c r="F51" s="826">
        <f>F49+F50</f>
        <v>0</v>
      </c>
      <c r="G51" s="827">
        <f t="shared" si="5"/>
        <v>1369883825</v>
      </c>
      <c r="H51" s="828">
        <f>G51/(C51*1000)</f>
        <v>1.06</v>
      </c>
      <c r="I51" s="1147"/>
    </row>
  </sheetData>
  <sheetProtection/>
  <mergeCells count="10">
    <mergeCell ref="H1:H2"/>
    <mergeCell ref="A31:A32"/>
    <mergeCell ref="B31:B32"/>
    <mergeCell ref="C31:C32"/>
    <mergeCell ref="D31:G31"/>
    <mergeCell ref="H31:H32"/>
    <mergeCell ref="A1:A2"/>
    <mergeCell ref="D1:G1"/>
    <mergeCell ref="C1:C2"/>
    <mergeCell ref="B1:B2"/>
  </mergeCells>
  <printOptions horizontalCentered="1"/>
  <pageMargins left="0.3937007874015748" right="0.3937007874015748" top="0.7874015748031497" bottom="0.7874015748031497" header="0.3937007874015748" footer="0.3937007874015748"/>
  <pageSetup fitToHeight="2" orientation="landscape" paperSize="9" scale="84" r:id="rId1"/>
  <headerFooter alignWithMargins="0">
    <oddHeader>&amp;C&amp;"Times New Roman,Félkövér"PESTERZSÉBET ÖNKORMÁNYZATÁNAK HUMÁN SZOLGÁLTATÁSOK INTÉZMÉNYE
 2017. ÉVI BEVÉTELEI ÉS KIADÁSAI
&amp;R&amp;"Times New Roman,Félkövér"4.1. sz. melléklet&amp;"MS Sans Serif,Normál"
</oddHeader>
  </headerFooter>
  <rowBreaks count="1" manualBreakCount="1">
    <brk id="29" max="7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60">
    <pageSetUpPr fitToPage="1"/>
  </sheetPr>
  <dimension ref="A1:H14"/>
  <sheetViews>
    <sheetView zoomScale="80" zoomScaleNormal="80" zoomScalePageLayoutView="0" workbookViewId="0" topLeftCell="A1">
      <pane ySplit="1" topLeftCell="A2" activePane="bottomLeft" state="frozen"/>
      <selection pane="topLeft" activeCell="B1" sqref="B1:B2"/>
      <selection pane="bottomLeft" activeCell="G20" sqref="G20"/>
    </sheetView>
  </sheetViews>
  <sheetFormatPr defaultColWidth="9.140625" defaultRowHeight="12.75"/>
  <cols>
    <col min="1" max="1" width="9.140625" style="694" customWidth="1"/>
    <col min="2" max="2" width="66.57421875" style="694" customWidth="1"/>
    <col min="3" max="8" width="18.28125" style="694" customWidth="1"/>
    <col min="9" max="16384" width="9.140625" style="694" customWidth="1"/>
  </cols>
  <sheetData>
    <row r="1" spans="1:8" ht="13.5" customHeight="1">
      <c r="A1" s="1928" t="s">
        <v>523</v>
      </c>
      <c r="B1" s="1906" t="s">
        <v>499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8" ht="48" thickBot="1">
      <c r="A2" s="1929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8" ht="15.75">
      <c r="A3" s="707" t="s">
        <v>213</v>
      </c>
      <c r="B3" s="708" t="s">
        <v>214</v>
      </c>
      <c r="C3" s="709"/>
      <c r="D3" s="709"/>
      <c r="E3" s="708"/>
      <c r="F3" s="708"/>
      <c r="G3" s="709">
        <f>SUM(D3:F3)</f>
        <v>0</v>
      </c>
      <c r="H3" s="721"/>
    </row>
    <row r="4" spans="1:8" ht="15" customHeight="1">
      <c r="A4" s="714" t="s">
        <v>215</v>
      </c>
      <c r="B4" s="691" t="s">
        <v>216</v>
      </c>
      <c r="C4" s="695"/>
      <c r="D4" s="695"/>
      <c r="E4" s="695"/>
      <c r="F4" s="695"/>
      <c r="G4" s="695">
        <f>SUM(D4:F4)</f>
        <v>0</v>
      </c>
      <c r="H4" s="1427"/>
    </row>
    <row r="5" spans="1:8" ht="15" customHeight="1">
      <c r="A5" s="714" t="s">
        <v>534</v>
      </c>
      <c r="B5" s="691" t="s">
        <v>535</v>
      </c>
      <c r="C5" s="700">
        <f>SUM(C6:C6)</f>
        <v>1932</v>
      </c>
      <c r="D5" s="695">
        <f>SUM(D6:D6)</f>
        <v>0</v>
      </c>
      <c r="E5" s="1428">
        <f>SUM(E6:E6)</f>
        <v>0</v>
      </c>
      <c r="F5" s="1428">
        <f>SUM(F6:F6)</f>
        <v>0</v>
      </c>
      <c r="G5" s="700">
        <f aca="true" t="shared" si="0" ref="G5:G14">SUM(D5:F5)</f>
        <v>0</v>
      </c>
      <c r="H5" s="701"/>
    </row>
    <row r="6" spans="1:8" ht="15" customHeight="1">
      <c r="A6" s="715"/>
      <c r="B6" s="690" t="s">
        <v>556</v>
      </c>
      <c r="C6" s="696">
        <v>1932</v>
      </c>
      <c r="D6" s="696"/>
      <c r="E6" s="697"/>
      <c r="F6" s="697"/>
      <c r="G6" s="696">
        <f t="shared" si="0"/>
        <v>0</v>
      </c>
      <c r="H6" s="698"/>
    </row>
    <row r="7" spans="1:8" ht="15" customHeight="1">
      <c r="A7" s="714" t="s">
        <v>536</v>
      </c>
      <c r="B7" s="691" t="s">
        <v>537</v>
      </c>
      <c r="C7" s="695">
        <f>C8+C10</f>
        <v>12974</v>
      </c>
      <c r="D7" s="695">
        <f>D8+D10</f>
        <v>7874016</v>
      </c>
      <c r="E7" s="695">
        <f>E8+E10</f>
        <v>0</v>
      </c>
      <c r="F7" s="695">
        <f>F8+F10</f>
        <v>0</v>
      </c>
      <c r="G7" s="702">
        <f t="shared" si="0"/>
        <v>7874016</v>
      </c>
      <c r="H7" s="701">
        <f>G7/(C7*1000)</f>
        <v>0.61</v>
      </c>
    </row>
    <row r="8" spans="1:8" ht="15" customHeight="1">
      <c r="A8" s="715"/>
      <c r="B8" s="1429" t="s">
        <v>538</v>
      </c>
      <c r="C8" s="1430">
        <f>SUM(C9:C9)</f>
        <v>12974</v>
      </c>
      <c r="D8" s="1430">
        <f>SUM(D9:D9)</f>
        <v>7874016</v>
      </c>
      <c r="E8" s="1430">
        <f>SUM(E9:E9)</f>
        <v>0</v>
      </c>
      <c r="F8" s="1430">
        <f>SUM(F9:F9)</f>
        <v>0</v>
      </c>
      <c r="G8" s="1431">
        <f t="shared" si="0"/>
        <v>7874016</v>
      </c>
      <c r="H8" s="1432">
        <f>G8/(C8*1000)</f>
        <v>0.61</v>
      </c>
    </row>
    <row r="9" spans="1:8" ht="15" customHeight="1">
      <c r="A9" s="715"/>
      <c r="B9" s="716" t="s">
        <v>557</v>
      </c>
      <c r="C9" s="696">
        <v>12974</v>
      </c>
      <c r="D9" s="696">
        <v>7874016</v>
      </c>
      <c r="E9" s="696"/>
      <c r="F9" s="696"/>
      <c r="G9" s="703">
        <f t="shared" si="0"/>
        <v>7874016</v>
      </c>
      <c r="H9" s="698">
        <f>G9/(C9*1000)</f>
        <v>0.61</v>
      </c>
    </row>
    <row r="10" spans="1:8" s="1433" customFormat="1" ht="15.75">
      <c r="A10" s="715"/>
      <c r="B10" s="1429" t="s">
        <v>540</v>
      </c>
      <c r="C10" s="1430"/>
      <c r="D10" s="1430"/>
      <c r="E10" s="1430"/>
      <c r="F10" s="1430"/>
      <c r="G10" s="1162">
        <f t="shared" si="0"/>
        <v>0</v>
      </c>
      <c r="H10" s="1432"/>
    </row>
    <row r="11" spans="1:8" ht="15.75">
      <c r="A11" s="714" t="s">
        <v>541</v>
      </c>
      <c r="B11" s="691" t="s">
        <v>542</v>
      </c>
      <c r="C11" s="700"/>
      <c r="D11" s="700"/>
      <c r="E11" s="700"/>
      <c r="F11" s="700"/>
      <c r="G11" s="700">
        <f t="shared" si="0"/>
        <v>0</v>
      </c>
      <c r="H11" s="1434"/>
    </row>
    <row r="12" spans="1:8" ht="15.75">
      <c r="A12" s="714" t="s">
        <v>543</v>
      </c>
      <c r="B12" s="691" t="s">
        <v>546</v>
      </c>
      <c r="C12" s="700"/>
      <c r="D12" s="700"/>
      <c r="E12" s="700"/>
      <c r="F12" s="700"/>
      <c r="G12" s="700">
        <f t="shared" si="0"/>
        <v>0</v>
      </c>
      <c r="H12" s="1434"/>
    </row>
    <row r="13" spans="1:8" ht="16.5" thickBot="1">
      <c r="A13" s="718" t="s">
        <v>544</v>
      </c>
      <c r="B13" s="692" t="s">
        <v>545</v>
      </c>
      <c r="C13" s="704">
        <v>4025</v>
      </c>
      <c r="D13" s="704">
        <f>((D3+D4+D5+D7)*27%)</f>
        <v>2125984</v>
      </c>
      <c r="E13" s="704">
        <f>(E3+E4+E5+E7)*27%</f>
        <v>0</v>
      </c>
      <c r="F13" s="704">
        <f>(F3+F4+F5+F7)*27%</f>
        <v>0</v>
      </c>
      <c r="G13" s="704">
        <f t="shared" si="0"/>
        <v>2125984</v>
      </c>
      <c r="H13" s="705">
        <f>G13/(C13*1000)</f>
        <v>0.53</v>
      </c>
    </row>
    <row r="14" spans="1:8" s="1343" customFormat="1" ht="35.25" customHeight="1" thickBot="1">
      <c r="A14" s="719"/>
      <c r="B14" s="693" t="s">
        <v>547</v>
      </c>
      <c r="C14" s="693">
        <f>C3+C4+C5+C7+C11+C12+C13</f>
        <v>18931</v>
      </c>
      <c r="D14" s="693">
        <f>D3+D4+D5+D7+D11+D12+D13</f>
        <v>10000000</v>
      </c>
      <c r="E14" s="693">
        <f>E3+E4+E5+E7+E11+E12+E13</f>
        <v>0</v>
      </c>
      <c r="F14" s="693">
        <f>F3+F4+F5+F7+F11+F12+F13</f>
        <v>0</v>
      </c>
      <c r="G14" s="693">
        <f t="shared" si="0"/>
        <v>10000000</v>
      </c>
      <c r="H14" s="706">
        <f>G14/(C14*1000)</f>
        <v>0.53</v>
      </c>
    </row>
  </sheetData>
  <sheetProtection/>
  <mergeCells count="5">
    <mergeCell ref="A1:A2"/>
    <mergeCell ref="H1:H2"/>
    <mergeCell ref="C1:C2"/>
    <mergeCell ref="B1:B2"/>
    <mergeCell ref="D1:G1"/>
  </mergeCells>
  <printOptions horizontalCentered="1"/>
  <pageMargins left="0.5905511811023623" right="0.5905511811023623" top="0.984251968503937" bottom="1.1811023622047245" header="0.3937007874015748" footer="0.3937007874015748"/>
  <pageSetup fitToHeight="1" fitToWidth="1" orientation="landscape" paperSize="9" scale="73" r:id="rId1"/>
  <headerFooter alignWithMargins="0">
    <oddHeader>&amp;C&amp;"Times New Roman,Normál"PESTERZSÉBET ÖNKORMÁNYZATÁNAK HUMÁN SZOLGÁLTATÁSOK INTÉZMÉNYE (HSZI) 
2017. ÉVI BERUHÁZÁSI KIADÁSAI 
&amp;R&amp;"Times New Roman,Normál"4.2. sz. melléklet&amp;"MS Sans Serif,Normál"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Munka43">
    <pageSetUpPr fitToPage="1"/>
  </sheetPr>
  <dimension ref="A1:I52"/>
  <sheetViews>
    <sheetView zoomScalePageLayoutView="0" workbookViewId="0" topLeftCell="A1">
      <pane xSplit="2" ySplit="2" topLeftCell="C18" activePane="bottomRight" state="frozen"/>
      <selection pane="topLeft" activeCell="H18" sqref="H18:H20"/>
      <selection pane="topRight" activeCell="H18" sqref="H18:H20"/>
      <selection pane="bottomLeft" activeCell="H18" sqref="H18:H20"/>
      <selection pane="bottomRight" activeCell="D36" sqref="D36"/>
    </sheetView>
  </sheetViews>
  <sheetFormatPr defaultColWidth="9.140625" defaultRowHeight="12.75"/>
  <cols>
    <col min="1" max="1" width="9.140625" style="1147" customWidth="1"/>
    <col min="2" max="2" width="56.00390625" style="1147" customWidth="1"/>
    <col min="3" max="3" width="15.8515625" style="1146" customWidth="1"/>
    <col min="4" max="4" width="15.421875" style="1146" bestFit="1" customWidth="1"/>
    <col min="5" max="6" width="14.28125" style="1146" customWidth="1"/>
    <col min="7" max="7" width="15.421875" style="1146" bestFit="1" customWidth="1"/>
    <col min="8" max="8" width="14.28125" style="1147" customWidth="1"/>
    <col min="9" max="9" width="14.140625" style="1146" customWidth="1"/>
    <col min="10" max="10" width="12.421875" style="1147" customWidth="1"/>
    <col min="11" max="11" width="10.00390625" style="1147" customWidth="1"/>
    <col min="12" max="16384" width="9.140625" style="1147" customWidth="1"/>
  </cols>
  <sheetData>
    <row r="1" spans="1:8" ht="13.5" customHeight="1">
      <c r="A1" s="1844" t="s">
        <v>523</v>
      </c>
      <c r="B1" s="1906" t="s">
        <v>1186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8" ht="48" thickBot="1">
      <c r="A2" s="1845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9" s="1386" customFormat="1" ht="31.5">
      <c r="A3" s="1381" t="s">
        <v>185</v>
      </c>
      <c r="B3" s="1446" t="s">
        <v>186</v>
      </c>
      <c r="C3" s="1383">
        <v>189107</v>
      </c>
      <c r="D3" s="1383">
        <f>+D4</f>
        <v>51005815</v>
      </c>
      <c r="E3" s="1383">
        <f>+E4</f>
        <v>0</v>
      </c>
      <c r="F3" s="1383">
        <f>+F4</f>
        <v>0</v>
      </c>
      <c r="G3" s="1383">
        <f>SUM(D3:F3)</f>
        <v>51005815</v>
      </c>
      <c r="H3" s="1384">
        <f>G3/(C3*1000)</f>
        <v>0.27</v>
      </c>
      <c r="I3" s="1385"/>
    </row>
    <row r="4" spans="1:9" s="1386" customFormat="1" ht="28.5" customHeight="1">
      <c r="A4" s="1387"/>
      <c r="B4" s="1388" t="s">
        <v>949</v>
      </c>
      <c r="C4" s="1389">
        <v>189107</v>
      </c>
      <c r="D4" s="1389">
        <v>51005815</v>
      </c>
      <c r="E4" s="1389"/>
      <c r="F4" s="1389"/>
      <c r="G4" s="1389">
        <f>SUM(D4:F4)</f>
        <v>51005815</v>
      </c>
      <c r="H4" s="1390">
        <f>G4/(C4*1000)</f>
        <v>0.27</v>
      </c>
      <c r="I4" s="1385"/>
    </row>
    <row r="5" spans="1:9" s="1386" customFormat="1" ht="31.5">
      <c r="A5" s="1387" t="s">
        <v>187</v>
      </c>
      <c r="B5" s="1446" t="s">
        <v>145</v>
      </c>
      <c r="C5" s="1392"/>
      <c r="D5" s="1392"/>
      <c r="E5" s="1392"/>
      <c r="F5" s="1392"/>
      <c r="G5" s="1392">
        <f>SUM(D5:F5)</f>
        <v>0</v>
      </c>
      <c r="H5" s="1393"/>
      <c r="I5" s="1385"/>
    </row>
    <row r="6" spans="1:9" s="1386" customFormat="1" ht="19.5" customHeight="1">
      <c r="A6" s="1387" t="s">
        <v>193</v>
      </c>
      <c r="B6" s="1391" t="s">
        <v>148</v>
      </c>
      <c r="C6" s="1392"/>
      <c r="D6" s="1392"/>
      <c r="E6" s="1392"/>
      <c r="F6" s="1392"/>
      <c r="G6" s="1392">
        <f>SUM(D6:F6)</f>
        <v>0</v>
      </c>
      <c r="H6" s="1393"/>
      <c r="I6" s="1385"/>
    </row>
    <row r="7" spans="1:9" s="1386" customFormat="1" ht="19.5" customHeight="1">
      <c r="A7" s="1387" t="s">
        <v>469</v>
      </c>
      <c r="B7" s="1391" t="s">
        <v>664</v>
      </c>
      <c r="C7" s="1392">
        <v>2631</v>
      </c>
      <c r="D7" s="1392"/>
      <c r="E7" s="1392">
        <v>2631440</v>
      </c>
      <c r="F7" s="1392"/>
      <c r="G7" s="1392">
        <f>SUM(D7:F7)</f>
        <v>2631440</v>
      </c>
      <c r="H7" s="1393">
        <f>G7/(C7*1000)</f>
        <v>1</v>
      </c>
      <c r="I7" s="1385"/>
    </row>
    <row r="8" spans="1:9" s="1386" customFormat="1" ht="19.5" customHeight="1">
      <c r="A8" s="1387" t="s">
        <v>486</v>
      </c>
      <c r="B8" s="1391" t="s">
        <v>663</v>
      </c>
      <c r="C8" s="1392"/>
      <c r="D8" s="1392"/>
      <c r="E8" s="1392"/>
      <c r="F8" s="1392"/>
      <c r="G8" s="1392"/>
      <c r="H8" s="1393"/>
      <c r="I8" s="1385"/>
    </row>
    <row r="9" spans="1:9" s="1386" customFormat="1" ht="19.5" customHeight="1">
      <c r="A9" s="1387" t="s">
        <v>471</v>
      </c>
      <c r="B9" s="1391" t="s">
        <v>475</v>
      </c>
      <c r="C9" s="1392"/>
      <c r="D9" s="1392"/>
      <c r="E9" s="1392"/>
      <c r="F9" s="1392"/>
      <c r="G9" s="1392"/>
      <c r="H9" s="1393"/>
      <c r="I9" s="1385"/>
    </row>
    <row r="10" spans="1:9" s="1386" customFormat="1" ht="19.5" customHeight="1" thickBot="1">
      <c r="A10" s="1394" t="s">
        <v>473</v>
      </c>
      <c r="B10" s="1395" t="s">
        <v>474</v>
      </c>
      <c r="C10" s="1396"/>
      <c r="D10" s="1396"/>
      <c r="E10" s="1396"/>
      <c r="F10" s="1396"/>
      <c r="G10" s="1396"/>
      <c r="H10" s="1397"/>
      <c r="I10" s="1385"/>
    </row>
    <row r="11" spans="1:9" s="1399" customFormat="1" ht="15" customHeight="1" thickBot="1">
      <c r="A11" s="782" t="s">
        <v>476</v>
      </c>
      <c r="B11" s="783" t="s">
        <v>286</v>
      </c>
      <c r="C11" s="784">
        <f>C3+C5+C6+C7+C8+C9+C10</f>
        <v>191738</v>
      </c>
      <c r="D11" s="784">
        <f>D3+D5+D6+D7+D8+D9+D10</f>
        <v>51005815</v>
      </c>
      <c r="E11" s="784">
        <f>E3+E5+E6+E7+E8+E9+E10</f>
        <v>2631440</v>
      </c>
      <c r="F11" s="784">
        <f>F3+F5+F6+F7+F8+F9+F10</f>
        <v>0</v>
      </c>
      <c r="G11" s="1139">
        <f>SUM(D11:F11)</f>
        <v>53637255</v>
      </c>
      <c r="H11" s="786">
        <f>G11/(C11*1000)</f>
        <v>0.28</v>
      </c>
      <c r="I11" s="1398"/>
    </row>
    <row r="12" spans="1:9" s="1399" customFormat="1" ht="15" customHeight="1">
      <c r="A12" s="1381" t="s">
        <v>477</v>
      </c>
      <c r="B12" s="1382" t="s">
        <v>478</v>
      </c>
      <c r="C12" s="1383">
        <f>+C13</f>
        <v>224828</v>
      </c>
      <c r="D12" s="1383">
        <f>+D13</f>
        <v>228481468</v>
      </c>
      <c r="E12" s="1383">
        <f>+E13</f>
        <v>6823700</v>
      </c>
      <c r="F12" s="1383">
        <f>+F13</f>
        <v>0</v>
      </c>
      <c r="G12" s="1383">
        <f>+G13</f>
        <v>235305168</v>
      </c>
      <c r="H12" s="1384">
        <f>G12/(C12*1000)</f>
        <v>1.05</v>
      </c>
      <c r="I12" s="1398"/>
    </row>
    <row r="13" spans="1:9" s="1399" customFormat="1" ht="15" customHeight="1">
      <c r="A13" s="1400" t="s">
        <v>483</v>
      </c>
      <c r="B13" s="1401" t="s">
        <v>484</v>
      </c>
      <c r="C13" s="1402">
        <f>+C14+C17</f>
        <v>224828</v>
      </c>
      <c r="D13" s="1402">
        <f>+D14+D17</f>
        <v>228481468</v>
      </c>
      <c r="E13" s="1402">
        <f>+E14+E17</f>
        <v>6823700</v>
      </c>
      <c r="F13" s="1402">
        <f>+F14+F17</f>
        <v>0</v>
      </c>
      <c r="G13" s="1402">
        <f aca="true" t="shared" si="0" ref="G13:G20">SUM(D13:F13)</f>
        <v>235305168</v>
      </c>
      <c r="H13" s="1403">
        <f>G13/(C13*1000)</f>
        <v>1.05</v>
      </c>
      <c r="I13" s="1398"/>
    </row>
    <row r="14" spans="1:9" s="1399" customFormat="1" ht="15" customHeight="1">
      <c r="A14" s="1160" t="s">
        <v>479</v>
      </c>
      <c r="B14" s="1166" t="s">
        <v>480</v>
      </c>
      <c r="C14" s="1167">
        <f>SUM(C15:C16)</f>
        <v>8036</v>
      </c>
      <c r="D14" s="1167">
        <f>SUM(D15:D16)</f>
        <v>5356944</v>
      </c>
      <c r="E14" s="1167">
        <f>SUM(E15:E16)</f>
        <v>0</v>
      </c>
      <c r="F14" s="1167">
        <f>SUM(F15:F16)</f>
        <v>0</v>
      </c>
      <c r="G14" s="1162">
        <f>SUM(D14:F14)</f>
        <v>5356944</v>
      </c>
      <c r="H14" s="1168">
        <f>G14/(C14*1000)</f>
        <v>0.67</v>
      </c>
      <c r="I14" s="1398"/>
    </row>
    <row r="15" spans="1:9" s="1399" customFormat="1" ht="15" customHeight="1">
      <c r="A15" s="809"/>
      <c r="B15" s="1148" t="s">
        <v>241</v>
      </c>
      <c r="C15" s="811">
        <v>8036</v>
      </c>
      <c r="D15" s="811">
        <v>5356944</v>
      </c>
      <c r="E15" s="811"/>
      <c r="F15" s="811"/>
      <c r="G15" s="811">
        <f t="shared" si="0"/>
        <v>5356944</v>
      </c>
      <c r="H15" s="1169">
        <f>G15/(C15*1000)</f>
        <v>0.67</v>
      </c>
      <c r="I15" s="1398"/>
    </row>
    <row r="16" spans="1:9" s="1399" customFormat="1" ht="15" customHeight="1">
      <c r="A16" s="809"/>
      <c r="B16" s="1148" t="s">
        <v>242</v>
      </c>
      <c r="C16" s="811"/>
      <c r="D16" s="811"/>
      <c r="E16" s="811"/>
      <c r="F16" s="811"/>
      <c r="G16" s="811">
        <f t="shared" si="0"/>
        <v>0</v>
      </c>
      <c r="H16" s="1169"/>
      <c r="I16" s="1398"/>
    </row>
    <row r="17" spans="1:9" s="1399" customFormat="1" ht="15" customHeight="1">
      <c r="A17" s="1160" t="s">
        <v>665</v>
      </c>
      <c r="B17" s="1161" t="s">
        <v>666</v>
      </c>
      <c r="C17" s="1162">
        <f>SUM(C18:C19)</f>
        <v>216792</v>
      </c>
      <c r="D17" s="1162">
        <f>SUM(D18:D19)</f>
        <v>223124524</v>
      </c>
      <c r="E17" s="1162">
        <f>SUM(E18:E19)</f>
        <v>6823700</v>
      </c>
      <c r="F17" s="1162">
        <f>SUM(F18:F19)</f>
        <v>0</v>
      </c>
      <c r="G17" s="793">
        <f>SUM(D17:F17)</f>
        <v>229948224</v>
      </c>
      <c r="H17" s="1163">
        <f>G17/(C17*1000)</f>
        <v>1.06</v>
      </c>
      <c r="I17" s="1398"/>
    </row>
    <row r="18" spans="1:9" s="1407" customFormat="1" ht="15" customHeight="1">
      <c r="A18" s="1171"/>
      <c r="B18" s="1172" t="s">
        <v>667</v>
      </c>
      <c r="C18" s="717">
        <v>213172</v>
      </c>
      <c r="D18" s="717">
        <v>214869524</v>
      </c>
      <c r="E18" s="717">
        <v>6823700</v>
      </c>
      <c r="F18" s="717"/>
      <c r="G18" s="797">
        <f t="shared" si="0"/>
        <v>221693224</v>
      </c>
      <c r="H18" s="1173">
        <f>G18/(C18*1000)</f>
        <v>1.04</v>
      </c>
      <c r="I18" s="1406"/>
    </row>
    <row r="19" spans="1:9" s="1405" customFormat="1" ht="15" customHeight="1" thickBot="1">
      <c r="A19" s="1171"/>
      <c r="B19" s="1172" t="s">
        <v>668</v>
      </c>
      <c r="C19" s="717">
        <v>3620</v>
      </c>
      <c r="D19" s="717">
        <v>8255000</v>
      </c>
      <c r="E19" s="717"/>
      <c r="F19" s="717"/>
      <c r="G19" s="797">
        <f t="shared" si="0"/>
        <v>8255000</v>
      </c>
      <c r="H19" s="1173">
        <f>G19/(C19*1000)</f>
        <v>2.28</v>
      </c>
      <c r="I19" s="1404"/>
    </row>
    <row r="20" spans="1:9" s="1386" customFormat="1" ht="24.75" customHeight="1" thickBot="1">
      <c r="A20" s="1141"/>
      <c r="B20" s="1142" t="s">
        <v>78</v>
      </c>
      <c r="C20" s="1408">
        <f>C11+C12</f>
        <v>416566</v>
      </c>
      <c r="D20" s="1408">
        <f>D11+D12</f>
        <v>279487283</v>
      </c>
      <c r="E20" s="1408">
        <f>E11+E12</f>
        <v>9455140</v>
      </c>
      <c r="F20" s="1409">
        <f>F11+F12</f>
        <v>0</v>
      </c>
      <c r="G20" s="1408">
        <f t="shared" si="0"/>
        <v>288942423</v>
      </c>
      <c r="H20" s="1144">
        <f>G20/(C20*1000)</f>
        <v>0.69</v>
      </c>
      <c r="I20" s="1385"/>
    </row>
    <row r="21" spans="1:8" ht="16.5" thickBot="1">
      <c r="A21" s="1435"/>
      <c r="C21" s="1147"/>
      <c r="D21" s="1147"/>
      <c r="E21" s="1147"/>
      <c r="F21" s="1147"/>
      <c r="G21" s="1147"/>
      <c r="H21" s="1436"/>
    </row>
    <row r="22" spans="1:8" ht="13.5" customHeight="1">
      <c r="A22" s="805"/>
      <c r="B22" s="806" t="s">
        <v>549</v>
      </c>
      <c r="C22" s="807">
        <f>C3+C6+C7+C9</f>
        <v>191738</v>
      </c>
      <c r="D22" s="807">
        <f>D3+D6+D7+D9</f>
        <v>51005815</v>
      </c>
      <c r="E22" s="807">
        <f>E3+E6+E7+E9</f>
        <v>2631440</v>
      </c>
      <c r="F22" s="807">
        <f>F3+F6+F7+F9</f>
        <v>0</v>
      </c>
      <c r="G22" s="807">
        <f aca="true" t="shared" si="1" ref="G22:G28">SUM(D22:F22)</f>
        <v>53637255</v>
      </c>
      <c r="H22" s="808">
        <f>G22/(C22*1000)</f>
        <v>0.28</v>
      </c>
    </row>
    <row r="23" spans="1:8" ht="15.75">
      <c r="A23" s="809"/>
      <c r="B23" s="810" t="s">
        <v>550</v>
      </c>
      <c r="C23" s="811">
        <f>C5+C8+C10</f>
        <v>0</v>
      </c>
      <c r="D23" s="811">
        <f>D5+D8+D10</f>
        <v>0</v>
      </c>
      <c r="E23" s="811">
        <f>E5+E8+E10</f>
        <v>0</v>
      </c>
      <c r="F23" s="811">
        <f>F5+F8+F10</f>
        <v>0</v>
      </c>
      <c r="G23" s="811">
        <f t="shared" si="1"/>
        <v>0</v>
      </c>
      <c r="H23" s="812"/>
    </row>
    <row r="24" spans="1:8" ht="15.75">
      <c r="A24" s="809"/>
      <c r="B24" s="810" t="s">
        <v>551</v>
      </c>
      <c r="C24" s="811">
        <f aca="true" t="shared" si="2" ref="C24:F25">+C15+C18</f>
        <v>221208</v>
      </c>
      <c r="D24" s="811">
        <f t="shared" si="2"/>
        <v>220226468</v>
      </c>
      <c r="E24" s="811">
        <f t="shared" si="2"/>
        <v>6823700</v>
      </c>
      <c r="F24" s="811">
        <f t="shared" si="2"/>
        <v>0</v>
      </c>
      <c r="G24" s="811">
        <f t="shared" si="1"/>
        <v>227050168</v>
      </c>
      <c r="H24" s="812">
        <f>G24/(C24*1000)</f>
        <v>1.03</v>
      </c>
    </row>
    <row r="25" spans="1:8" ht="16.5" thickBot="1">
      <c r="A25" s="813"/>
      <c r="B25" s="814" t="s">
        <v>552</v>
      </c>
      <c r="C25" s="815">
        <f t="shared" si="2"/>
        <v>3620</v>
      </c>
      <c r="D25" s="815">
        <f t="shared" si="2"/>
        <v>8255000</v>
      </c>
      <c r="E25" s="815">
        <f t="shared" si="2"/>
        <v>0</v>
      </c>
      <c r="F25" s="815">
        <f t="shared" si="2"/>
        <v>0</v>
      </c>
      <c r="G25" s="815">
        <f t="shared" si="1"/>
        <v>8255000</v>
      </c>
      <c r="H25" s="816">
        <f>G25/(C25*1000)</f>
        <v>2.28</v>
      </c>
    </row>
    <row r="26" spans="1:8" ht="15.75">
      <c r="A26" s="817"/>
      <c r="B26" s="818" t="s">
        <v>553</v>
      </c>
      <c r="C26" s="819">
        <f aca="true" t="shared" si="3" ref="C26:F27">C22+C24</f>
        <v>412946</v>
      </c>
      <c r="D26" s="819">
        <f t="shared" si="3"/>
        <v>271232283</v>
      </c>
      <c r="E26" s="819">
        <f t="shared" si="3"/>
        <v>9455140</v>
      </c>
      <c r="F26" s="818">
        <f t="shared" si="3"/>
        <v>0</v>
      </c>
      <c r="G26" s="819">
        <f t="shared" si="1"/>
        <v>280687423</v>
      </c>
      <c r="H26" s="820">
        <f>G26/(C26*1000)</f>
        <v>0.68</v>
      </c>
    </row>
    <row r="27" spans="1:8" ht="16.5" thickBot="1">
      <c r="A27" s="821"/>
      <c r="B27" s="822" t="s">
        <v>554</v>
      </c>
      <c r="C27" s="823">
        <f t="shared" si="3"/>
        <v>3620</v>
      </c>
      <c r="D27" s="823">
        <f t="shared" si="3"/>
        <v>8255000</v>
      </c>
      <c r="E27" s="823">
        <f t="shared" si="3"/>
        <v>0</v>
      </c>
      <c r="F27" s="822">
        <f t="shared" si="3"/>
        <v>0</v>
      </c>
      <c r="G27" s="823">
        <f t="shared" si="1"/>
        <v>8255000</v>
      </c>
      <c r="H27" s="824">
        <f>G27/(C27*1000)</f>
        <v>2.28</v>
      </c>
    </row>
    <row r="28" spans="1:8" ht="16.5" thickBot="1">
      <c r="A28" s="825"/>
      <c r="B28" s="826" t="s">
        <v>555</v>
      </c>
      <c r="C28" s="827">
        <f>C26+C27</f>
        <v>416566</v>
      </c>
      <c r="D28" s="827">
        <f>D26+D27</f>
        <v>279487283</v>
      </c>
      <c r="E28" s="827">
        <f>E26+E27</f>
        <v>9455140</v>
      </c>
      <c r="F28" s="826">
        <f>F26+F27</f>
        <v>0</v>
      </c>
      <c r="G28" s="827">
        <f t="shared" si="1"/>
        <v>288942423</v>
      </c>
      <c r="H28" s="828">
        <f>G28/(C28*1000)</f>
        <v>0.69</v>
      </c>
    </row>
    <row r="29" ht="16.5" thickBot="1"/>
    <row r="30" spans="1:8" ht="13.5" customHeight="1">
      <c r="A30" s="1904" t="s">
        <v>523</v>
      </c>
      <c r="B30" s="1906" t="s">
        <v>1187</v>
      </c>
      <c r="C30" s="1854" t="s">
        <v>1065</v>
      </c>
      <c r="D30" s="1851" t="s">
        <v>1050</v>
      </c>
      <c r="E30" s="1852"/>
      <c r="F30" s="1852"/>
      <c r="G30" s="1853"/>
      <c r="H30" s="1848" t="s">
        <v>1051</v>
      </c>
    </row>
    <row r="31" spans="1:8" ht="48" thickBot="1">
      <c r="A31" s="1905"/>
      <c r="B31" s="1907"/>
      <c r="C31" s="1855"/>
      <c r="D31" s="1136" t="s">
        <v>287</v>
      </c>
      <c r="E31" s="1136" t="s">
        <v>795</v>
      </c>
      <c r="F31" s="1136" t="s">
        <v>796</v>
      </c>
      <c r="G31" s="1136" t="s">
        <v>65</v>
      </c>
      <c r="H31" s="1849"/>
    </row>
    <row r="32" spans="1:9" s="1386" customFormat="1" ht="24.75" customHeight="1">
      <c r="A32" s="1437" t="s">
        <v>104</v>
      </c>
      <c r="B32" s="1438" t="s">
        <v>105</v>
      </c>
      <c r="C32" s="1439">
        <v>234403</v>
      </c>
      <c r="D32" s="1439">
        <v>91541127</v>
      </c>
      <c r="E32" s="1439">
        <v>4010152</v>
      </c>
      <c r="F32" s="1439"/>
      <c r="G32" s="1439">
        <f aca="true" t="shared" si="4" ref="G32:G44">SUM(D32:F32)</f>
        <v>95551279</v>
      </c>
      <c r="H32" s="1440">
        <f>G32/(C32*1000)</f>
        <v>0.41</v>
      </c>
      <c r="I32" s="1385"/>
    </row>
    <row r="33" spans="1:9" s="1386" customFormat="1" ht="24.75" customHeight="1">
      <c r="A33" s="1441"/>
      <c r="B33" s="1442" t="s">
        <v>1102</v>
      </c>
      <c r="C33" s="1443">
        <v>196644</v>
      </c>
      <c r="D33" s="1443">
        <v>50684585</v>
      </c>
      <c r="E33" s="1443"/>
      <c r="F33" s="1443"/>
      <c r="G33" s="1443">
        <f t="shared" si="4"/>
        <v>50684585</v>
      </c>
      <c r="H33" s="1444">
        <f>G33/(C33*1000)</f>
        <v>0.26</v>
      </c>
      <c r="I33" s="1385"/>
    </row>
    <row r="34" spans="1:9" s="1386" customFormat="1" ht="31.5">
      <c r="A34" s="1445" t="s">
        <v>106</v>
      </c>
      <c r="B34" s="1446" t="s">
        <v>107</v>
      </c>
      <c r="C34" s="1447">
        <v>37804</v>
      </c>
      <c r="D34" s="1447">
        <v>15149191</v>
      </c>
      <c r="E34" s="1447">
        <v>1026658</v>
      </c>
      <c r="F34" s="1447"/>
      <c r="G34" s="1447">
        <f t="shared" si="4"/>
        <v>16175849</v>
      </c>
      <c r="H34" s="1448">
        <f>G34/(C34*1000)</f>
        <v>0.43</v>
      </c>
      <c r="I34" s="1385"/>
    </row>
    <row r="35" spans="1:9" s="1386" customFormat="1" ht="24.75" customHeight="1">
      <c r="A35" s="1441"/>
      <c r="B35" s="1442" t="s">
        <v>1102</v>
      </c>
      <c r="C35" s="1443">
        <v>26141</v>
      </c>
      <c r="D35" s="1443">
        <v>5988543</v>
      </c>
      <c r="E35" s="1443"/>
      <c r="F35" s="1443"/>
      <c r="G35" s="1443">
        <f>SUM(D35:F35)</f>
        <v>5988543</v>
      </c>
      <c r="H35" s="1444">
        <f>G35/(C35*1000)</f>
        <v>0.23</v>
      </c>
      <c r="I35" s="1385"/>
    </row>
    <row r="36" spans="1:9" s="1386" customFormat="1" ht="24.75" customHeight="1">
      <c r="A36" s="1387" t="s">
        <v>108</v>
      </c>
      <c r="B36" s="1391" t="s">
        <v>109</v>
      </c>
      <c r="C36" s="1392">
        <v>140739</v>
      </c>
      <c r="D36" s="1392">
        <v>164541965</v>
      </c>
      <c r="E36" s="1392">
        <v>4418330</v>
      </c>
      <c r="F36" s="1392"/>
      <c r="G36" s="1392">
        <f t="shared" si="4"/>
        <v>168960295</v>
      </c>
      <c r="H36" s="1393">
        <f>G36/(C36*1000)</f>
        <v>1.2</v>
      </c>
      <c r="I36" s="1385"/>
    </row>
    <row r="37" spans="1:9" s="1386" customFormat="1" ht="24.75" customHeight="1">
      <c r="A37" s="1387" t="s">
        <v>110</v>
      </c>
      <c r="B37" s="1391" t="s">
        <v>111</v>
      </c>
      <c r="C37" s="1392"/>
      <c r="D37" s="1392"/>
      <c r="E37" s="1392"/>
      <c r="F37" s="1392"/>
      <c r="G37" s="1392">
        <f t="shared" si="4"/>
        <v>0</v>
      </c>
      <c r="H37" s="1393"/>
      <c r="I37" s="1385"/>
    </row>
    <row r="38" spans="1:9" s="1386" customFormat="1" ht="24.75" customHeight="1">
      <c r="A38" s="1387" t="s">
        <v>112</v>
      </c>
      <c r="B38" s="1391" t="s">
        <v>113</v>
      </c>
      <c r="C38" s="1392"/>
      <c r="D38" s="1392"/>
      <c r="E38" s="1392"/>
      <c r="F38" s="1392"/>
      <c r="G38" s="1392">
        <f t="shared" si="4"/>
        <v>0</v>
      </c>
      <c r="H38" s="1393"/>
      <c r="I38" s="1385"/>
    </row>
    <row r="39" spans="1:9" s="1386" customFormat="1" ht="24.75" customHeight="1">
      <c r="A39" s="1387" t="s">
        <v>548</v>
      </c>
      <c r="B39" s="1391" t="s">
        <v>121</v>
      </c>
      <c r="C39" s="1392">
        <v>3620</v>
      </c>
      <c r="D39" s="1392">
        <v>8255000</v>
      </c>
      <c r="E39" s="1392"/>
      <c r="F39" s="1392"/>
      <c r="G39" s="1392">
        <f t="shared" si="4"/>
        <v>8255000</v>
      </c>
      <c r="H39" s="1393">
        <f>G39/(C39*1000)</f>
        <v>2.28</v>
      </c>
      <c r="I39" s="1385"/>
    </row>
    <row r="40" spans="1:9" s="1386" customFormat="1" ht="24.75" customHeight="1">
      <c r="A40" s="1387" t="s">
        <v>122</v>
      </c>
      <c r="B40" s="1391" t="s">
        <v>123</v>
      </c>
      <c r="C40" s="1392"/>
      <c r="D40" s="1392"/>
      <c r="E40" s="1392"/>
      <c r="F40" s="1392"/>
      <c r="G40" s="1392">
        <f t="shared" si="4"/>
        <v>0</v>
      </c>
      <c r="H40" s="1393"/>
      <c r="I40" s="1385"/>
    </row>
    <row r="41" spans="1:9" s="1386" customFormat="1" ht="24.75" customHeight="1" thickBot="1">
      <c r="A41" s="1394" t="s">
        <v>124</v>
      </c>
      <c r="B41" s="1395" t="s">
        <v>125</v>
      </c>
      <c r="C41" s="1396"/>
      <c r="D41" s="1396"/>
      <c r="E41" s="1396"/>
      <c r="F41" s="1396"/>
      <c r="G41" s="1396">
        <f t="shared" si="4"/>
        <v>0</v>
      </c>
      <c r="H41" s="1411"/>
      <c r="I41" s="1385"/>
    </row>
    <row r="42" spans="1:8" ht="16.5" thickBot="1">
      <c r="A42" s="782" t="s">
        <v>138</v>
      </c>
      <c r="B42" s="783" t="s">
        <v>139</v>
      </c>
      <c r="C42" s="784">
        <f>C32+C34+C36+C37+C38+C39+C40+C41</f>
        <v>416566</v>
      </c>
      <c r="D42" s="784">
        <f>D32+D34+D36+D37+D38+D39+D40+D41</f>
        <v>279487283</v>
      </c>
      <c r="E42" s="784">
        <f>E32+E34+E36+E37+E38+E39+E40+E41</f>
        <v>9455140</v>
      </c>
      <c r="F42" s="784">
        <f>F32+F34+F36+F37+F38+F39+F40+F41</f>
        <v>0</v>
      </c>
      <c r="G42" s="1139">
        <f t="shared" si="4"/>
        <v>288942423</v>
      </c>
      <c r="H42" s="786">
        <f>G42/(C42*1000)</f>
        <v>0.69</v>
      </c>
    </row>
    <row r="43" spans="1:9" s="1386" customFormat="1" ht="24.75" customHeight="1" thickBot="1">
      <c r="A43" s="1437" t="s">
        <v>129</v>
      </c>
      <c r="B43" s="1438" t="s">
        <v>130</v>
      </c>
      <c r="C43" s="1439"/>
      <c r="D43" s="1439"/>
      <c r="E43" s="1439"/>
      <c r="F43" s="1439"/>
      <c r="G43" s="1439">
        <f t="shared" si="4"/>
        <v>0</v>
      </c>
      <c r="H43" s="1440"/>
      <c r="I43" s="1385"/>
    </row>
    <row r="44" spans="1:8" s="1449" customFormat="1" ht="24.75" customHeight="1" thickBot="1">
      <c r="A44" s="1141"/>
      <c r="B44" s="1142" t="s">
        <v>77</v>
      </c>
      <c r="C44" s="1408">
        <f>C43+C42</f>
        <v>416566</v>
      </c>
      <c r="D44" s="1408">
        <f>D43+D42</f>
        <v>279487283</v>
      </c>
      <c r="E44" s="1408">
        <f>E43+E42</f>
        <v>9455140</v>
      </c>
      <c r="F44" s="1409">
        <f>F43+F42</f>
        <v>0</v>
      </c>
      <c r="G44" s="1408">
        <f t="shared" si="4"/>
        <v>288942423</v>
      </c>
      <c r="H44" s="1144">
        <f>G44/(C44*1000)</f>
        <v>0.69</v>
      </c>
    </row>
    <row r="45" spans="1:8" ht="16.5" thickBot="1">
      <c r="A45" s="800"/>
      <c r="B45" s="801"/>
      <c r="C45" s="802"/>
      <c r="D45" s="802"/>
      <c r="E45" s="802"/>
      <c r="F45" s="803"/>
      <c r="G45" s="803"/>
      <c r="H45" s="804"/>
    </row>
    <row r="46" spans="1:8" ht="15.75">
      <c r="A46" s="805"/>
      <c r="B46" s="806" t="s">
        <v>158</v>
      </c>
      <c r="C46" s="807">
        <f>C32+C34+C36+C37+C38</f>
        <v>412946</v>
      </c>
      <c r="D46" s="807">
        <f>D32+D34+D36+D37+D38</f>
        <v>271232283</v>
      </c>
      <c r="E46" s="807">
        <f>E32+E34+E36+E37+E38</f>
        <v>9455140</v>
      </c>
      <c r="F46" s="807">
        <f>F32+F34+F36+F37+F38</f>
        <v>0</v>
      </c>
      <c r="G46" s="807">
        <f>SUM(D46:F46)</f>
        <v>280687423</v>
      </c>
      <c r="H46" s="808">
        <f>G46/(C46*1000)</f>
        <v>0.68</v>
      </c>
    </row>
    <row r="47" spans="1:8" ht="15.75">
      <c r="A47" s="809"/>
      <c r="B47" s="810" t="s">
        <v>159</v>
      </c>
      <c r="C47" s="811">
        <f>C39+C40+C41</f>
        <v>3620</v>
      </c>
      <c r="D47" s="811">
        <f>D39+D40+D41</f>
        <v>8255000</v>
      </c>
      <c r="E47" s="811">
        <f>E39+E40+E41</f>
        <v>0</v>
      </c>
      <c r="F47" s="811">
        <f>F39+F40+F41</f>
        <v>0</v>
      </c>
      <c r="G47" s="811">
        <f>SUM(D47:F47)</f>
        <v>8255000</v>
      </c>
      <c r="H47" s="812">
        <f>G47/(C47*1000)</f>
        <v>2.28</v>
      </c>
    </row>
    <row r="48" spans="1:8" ht="15.75">
      <c r="A48" s="809"/>
      <c r="B48" s="810" t="s">
        <v>160</v>
      </c>
      <c r="C48" s="811">
        <f>C43</f>
        <v>0</v>
      </c>
      <c r="D48" s="811">
        <f>D43</f>
        <v>0</v>
      </c>
      <c r="E48" s="811">
        <f>E43</f>
        <v>0</v>
      </c>
      <c r="F48" s="811">
        <f>F43</f>
        <v>0</v>
      </c>
      <c r="G48" s="811">
        <f>SUM(D48:F48)</f>
        <v>0</v>
      </c>
      <c r="H48" s="812"/>
    </row>
    <row r="49" spans="1:8" ht="16.5" thickBot="1">
      <c r="A49" s="813"/>
      <c r="B49" s="814" t="s">
        <v>161</v>
      </c>
      <c r="C49" s="815">
        <f>C43</f>
        <v>0</v>
      </c>
      <c r="D49" s="815">
        <f>D43</f>
        <v>0</v>
      </c>
      <c r="E49" s="815">
        <f>E43</f>
        <v>0</v>
      </c>
      <c r="F49" s="815">
        <f>F43</f>
        <v>0</v>
      </c>
      <c r="G49" s="815">
        <f>G43</f>
        <v>0</v>
      </c>
      <c r="H49" s="816"/>
    </row>
    <row r="50" spans="1:8" ht="15.75">
      <c r="A50" s="817"/>
      <c r="B50" s="818" t="s">
        <v>162</v>
      </c>
      <c r="C50" s="819">
        <f aca="true" t="shared" si="5" ref="C50:F51">C46+C48</f>
        <v>412946</v>
      </c>
      <c r="D50" s="819">
        <f t="shared" si="5"/>
        <v>271232283</v>
      </c>
      <c r="E50" s="819">
        <f t="shared" si="5"/>
        <v>9455140</v>
      </c>
      <c r="F50" s="818">
        <f t="shared" si="5"/>
        <v>0</v>
      </c>
      <c r="G50" s="819">
        <f>SUM(D50:F50)</f>
        <v>280687423</v>
      </c>
      <c r="H50" s="820">
        <f>G50/(C50*1000)</f>
        <v>0.68</v>
      </c>
    </row>
    <row r="51" spans="1:8" ht="16.5" thickBot="1">
      <c r="A51" s="821"/>
      <c r="B51" s="822" t="s">
        <v>163</v>
      </c>
      <c r="C51" s="823">
        <f t="shared" si="5"/>
        <v>3620</v>
      </c>
      <c r="D51" s="823">
        <f t="shared" si="5"/>
        <v>8255000</v>
      </c>
      <c r="E51" s="823">
        <f t="shared" si="5"/>
        <v>0</v>
      </c>
      <c r="F51" s="822">
        <f t="shared" si="5"/>
        <v>0</v>
      </c>
      <c r="G51" s="823">
        <f>SUM(D51:F51)</f>
        <v>8255000</v>
      </c>
      <c r="H51" s="824">
        <f>G51/(C51*1000)</f>
        <v>2.28</v>
      </c>
    </row>
    <row r="52" spans="1:8" ht="16.5" thickBot="1">
      <c r="A52" s="825"/>
      <c r="B52" s="826" t="s">
        <v>164</v>
      </c>
      <c r="C52" s="827">
        <f>C50+C51</f>
        <v>416566</v>
      </c>
      <c r="D52" s="827">
        <f>D50+D51</f>
        <v>279487283</v>
      </c>
      <c r="E52" s="827">
        <f>E50+E51</f>
        <v>9455140</v>
      </c>
      <c r="F52" s="826">
        <f>F50+F51</f>
        <v>0</v>
      </c>
      <c r="G52" s="827">
        <f>SUM(D52:F52)</f>
        <v>288942423</v>
      </c>
      <c r="H52" s="828">
        <f>G52/(C52*1000)</f>
        <v>0.69</v>
      </c>
    </row>
  </sheetData>
  <sheetProtection/>
  <mergeCells count="10">
    <mergeCell ref="H1:H2"/>
    <mergeCell ref="A30:A31"/>
    <mergeCell ref="B30:B31"/>
    <mergeCell ref="C30:C31"/>
    <mergeCell ref="D30:G30"/>
    <mergeCell ref="H30:H31"/>
    <mergeCell ref="A1:A2"/>
    <mergeCell ref="D1:G1"/>
    <mergeCell ref="C1:C2"/>
    <mergeCell ref="B1:B2"/>
  </mergeCells>
  <printOptions horizontalCentered="1"/>
  <pageMargins left="0.3937007874015748" right="0.3937007874015748" top="0.7874015748031497" bottom="0.7874015748031497" header="0.3937007874015748" footer="0.3937007874015748"/>
  <pageSetup fitToHeight="2" fitToWidth="1" orientation="landscape" paperSize="9" scale="91" r:id="rId1"/>
  <headerFooter alignWithMargins="0">
    <oddHeader>&amp;C&amp;"Times New Roman,Félkövér"PESTERZSÉBET ÖNKORMÁNYZATÁNAK SZOCIÁLIS FOGLALKOZTATÓJA
 2017. ÉVI BEVÉTELEI ÉS KIADÁSAI
&amp;R&amp;"Times New Roman,Félkövér"4.3. sz. melléklet&amp;"MS Sans Serif,Normál"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Munka61">
    <pageSetUpPr fitToPage="1"/>
  </sheetPr>
  <dimension ref="A1:H14"/>
  <sheetViews>
    <sheetView zoomScale="80" zoomScaleNormal="80" zoomScalePageLayoutView="0" workbookViewId="0" topLeftCell="A1">
      <pane ySplit="1" topLeftCell="A2" activePane="bottomLeft" state="frozen"/>
      <selection pane="topLeft" activeCell="D16" sqref="D16"/>
      <selection pane="bottomLeft" activeCell="J25" sqref="J25"/>
    </sheetView>
  </sheetViews>
  <sheetFormatPr defaultColWidth="9.140625" defaultRowHeight="12.75"/>
  <cols>
    <col min="1" max="1" width="9.140625" style="694" customWidth="1"/>
    <col min="2" max="2" width="62.00390625" style="694" customWidth="1"/>
    <col min="3" max="8" width="18.28125" style="694" customWidth="1"/>
    <col min="9" max="16384" width="9.140625" style="694" customWidth="1"/>
  </cols>
  <sheetData>
    <row r="1" spans="1:8" ht="13.5" customHeight="1">
      <c r="A1" s="1928" t="s">
        <v>523</v>
      </c>
      <c r="B1" s="1906" t="s">
        <v>515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8" ht="48" thickBot="1">
      <c r="A2" s="1929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8" ht="15.75">
      <c r="A3" s="707" t="s">
        <v>213</v>
      </c>
      <c r="B3" s="708" t="s">
        <v>214</v>
      </c>
      <c r="C3" s="709"/>
      <c r="D3" s="709"/>
      <c r="E3" s="708"/>
      <c r="F3" s="708"/>
      <c r="G3" s="709">
        <f>SUM(D3:F3)</f>
        <v>0</v>
      </c>
      <c r="H3" s="721"/>
    </row>
    <row r="4" spans="1:8" ht="15" customHeight="1">
      <c r="A4" s="714" t="s">
        <v>215</v>
      </c>
      <c r="B4" s="691" t="s">
        <v>216</v>
      </c>
      <c r="C4" s="695"/>
      <c r="D4" s="695"/>
      <c r="E4" s="695"/>
      <c r="F4" s="695"/>
      <c r="G4" s="695">
        <f>SUM(D4:F4)</f>
        <v>0</v>
      </c>
      <c r="H4" s="1427"/>
    </row>
    <row r="5" spans="1:8" ht="15" customHeight="1">
      <c r="A5" s="714" t="s">
        <v>534</v>
      </c>
      <c r="B5" s="691" t="s">
        <v>535</v>
      </c>
      <c r="C5" s="700">
        <f>SUM(C6:C6)</f>
        <v>300</v>
      </c>
      <c r="D5" s="695">
        <f>SUM(D6:D6)</f>
        <v>0</v>
      </c>
      <c r="E5" s="1428">
        <f>SUM(E6:E6)</f>
        <v>0</v>
      </c>
      <c r="F5" s="1428">
        <f>SUM(F6:F6)</f>
        <v>0</v>
      </c>
      <c r="G5" s="700">
        <f aca="true" t="shared" si="0" ref="G5:G14">SUM(D5:F5)</f>
        <v>0</v>
      </c>
      <c r="H5" s="701">
        <f>G5/(C5*1000)</f>
        <v>0</v>
      </c>
    </row>
    <row r="6" spans="1:8" ht="15" customHeight="1">
      <c r="A6" s="715"/>
      <c r="B6" s="690" t="s">
        <v>556</v>
      </c>
      <c r="C6" s="696">
        <v>300</v>
      </c>
      <c r="D6" s="696"/>
      <c r="E6" s="697"/>
      <c r="F6" s="697"/>
      <c r="G6" s="696">
        <f t="shared" si="0"/>
        <v>0</v>
      </c>
      <c r="H6" s="698">
        <f>G6/(C6*1000)</f>
        <v>0</v>
      </c>
    </row>
    <row r="7" spans="1:8" ht="15" customHeight="1">
      <c r="A7" s="714" t="s">
        <v>536</v>
      </c>
      <c r="B7" s="691" t="s">
        <v>537</v>
      </c>
      <c r="C7" s="695">
        <f>C8+C10</f>
        <v>2550</v>
      </c>
      <c r="D7" s="695">
        <f>D8+D10</f>
        <v>6500000</v>
      </c>
      <c r="E7" s="695">
        <f>E8+E10</f>
        <v>0</v>
      </c>
      <c r="F7" s="695">
        <f>F8+F10</f>
        <v>0</v>
      </c>
      <c r="G7" s="702">
        <f t="shared" si="0"/>
        <v>6500000</v>
      </c>
      <c r="H7" s="701">
        <f>G7/(C7*1000)</f>
        <v>2.55</v>
      </c>
    </row>
    <row r="8" spans="1:8" ht="15" customHeight="1">
      <c r="A8" s="715"/>
      <c r="B8" s="1429" t="s">
        <v>538</v>
      </c>
      <c r="C8" s="1430">
        <f>SUM(C9:C9)</f>
        <v>50</v>
      </c>
      <c r="D8" s="1430">
        <f>SUM(D9:D9)</f>
        <v>0</v>
      </c>
      <c r="E8" s="1430">
        <f>SUM(E9:E9)</f>
        <v>0</v>
      </c>
      <c r="F8" s="1430">
        <f>SUM(F9:F9)</f>
        <v>0</v>
      </c>
      <c r="G8" s="1431">
        <f t="shared" si="0"/>
        <v>0</v>
      </c>
      <c r="H8" s="1432">
        <f>G8/(C8*1000)</f>
        <v>0</v>
      </c>
    </row>
    <row r="9" spans="1:8" ht="15" customHeight="1">
      <c r="A9" s="715"/>
      <c r="B9" s="716" t="s">
        <v>557</v>
      </c>
      <c r="C9" s="696">
        <v>50</v>
      </c>
      <c r="D9" s="696"/>
      <c r="E9" s="696"/>
      <c r="F9" s="696"/>
      <c r="G9" s="703">
        <f t="shared" si="0"/>
        <v>0</v>
      </c>
      <c r="H9" s="698">
        <f>G9/(C9*1000)</f>
        <v>0</v>
      </c>
    </row>
    <row r="10" spans="1:8" ht="15.75">
      <c r="A10" s="715"/>
      <c r="B10" s="1429" t="s">
        <v>540</v>
      </c>
      <c r="C10" s="696">
        <v>2500</v>
      </c>
      <c r="D10" s="696">
        <v>6500000</v>
      </c>
      <c r="E10" s="696"/>
      <c r="F10" s="696"/>
      <c r="G10" s="717">
        <f t="shared" si="0"/>
        <v>6500000</v>
      </c>
      <c r="H10" s="699"/>
    </row>
    <row r="11" spans="1:8" ht="15.75">
      <c r="A11" s="714" t="s">
        <v>541</v>
      </c>
      <c r="B11" s="691" t="s">
        <v>542</v>
      </c>
      <c r="C11" s="700"/>
      <c r="D11" s="700"/>
      <c r="E11" s="700"/>
      <c r="F11" s="700"/>
      <c r="G11" s="700">
        <f t="shared" si="0"/>
        <v>0</v>
      </c>
      <c r="H11" s="1434"/>
    </row>
    <row r="12" spans="1:8" ht="15.75">
      <c r="A12" s="714" t="s">
        <v>543</v>
      </c>
      <c r="B12" s="691" t="s">
        <v>546</v>
      </c>
      <c r="C12" s="700"/>
      <c r="D12" s="700"/>
      <c r="E12" s="700"/>
      <c r="F12" s="700"/>
      <c r="G12" s="700">
        <f t="shared" si="0"/>
        <v>0</v>
      </c>
      <c r="H12" s="1434"/>
    </row>
    <row r="13" spans="1:8" ht="16.5" thickBot="1">
      <c r="A13" s="718" t="s">
        <v>544</v>
      </c>
      <c r="B13" s="692" t="s">
        <v>545</v>
      </c>
      <c r="C13" s="704">
        <f>(C3+C4+C5+C7)*27%</f>
        <v>770</v>
      </c>
      <c r="D13" s="704">
        <f>((D3+D4+D5+D7)*27%)</f>
        <v>1755000</v>
      </c>
      <c r="E13" s="704">
        <f>(E3+E4+E5+E7)*27%</f>
        <v>0</v>
      </c>
      <c r="F13" s="704">
        <f>(F3+F4+F5+F7)*27%</f>
        <v>0</v>
      </c>
      <c r="G13" s="704">
        <f t="shared" si="0"/>
        <v>1755000</v>
      </c>
      <c r="H13" s="705">
        <f>G13/(C13*1000)</f>
        <v>2.28</v>
      </c>
    </row>
    <row r="14" spans="1:8" s="1343" customFormat="1" ht="35.25" customHeight="1" thickBot="1">
      <c r="A14" s="719"/>
      <c r="B14" s="693" t="s">
        <v>547</v>
      </c>
      <c r="C14" s="693">
        <f>C3+C4+C5+C7+C11+C12+C13</f>
        <v>3620</v>
      </c>
      <c r="D14" s="693">
        <f>D3+D4+D5+D7+D11+D12+D13</f>
        <v>8255000</v>
      </c>
      <c r="E14" s="693">
        <f>E3+E4+E5+E7+E11+E12+E13</f>
        <v>0</v>
      </c>
      <c r="F14" s="693">
        <f>F3+F4+F5+F7+F11+F12+F13</f>
        <v>0</v>
      </c>
      <c r="G14" s="693">
        <f t="shared" si="0"/>
        <v>8255000</v>
      </c>
      <c r="H14" s="706">
        <f>G14/(C14*1000)</f>
        <v>2.28</v>
      </c>
    </row>
  </sheetData>
  <sheetProtection/>
  <mergeCells count="5">
    <mergeCell ref="A1:A2"/>
    <mergeCell ref="H1:H2"/>
    <mergeCell ref="C1:C2"/>
    <mergeCell ref="B1:B2"/>
    <mergeCell ref="D1:G1"/>
  </mergeCells>
  <printOptions horizontalCentered="1"/>
  <pageMargins left="0.5905511811023623" right="0.5905511811023623" top="0.984251968503937" bottom="1.1811023622047245" header="0.3937007874015748" footer="0.3937007874015748"/>
  <pageSetup fitToHeight="1" fitToWidth="1" orientation="landscape" paperSize="9" scale="75" r:id="rId1"/>
  <headerFooter alignWithMargins="0">
    <oddHeader>&amp;C&amp;"Times New Roman,Normál"PESTERZSÉBET ÖNKORMÁNYZATÁNAK SZOCIÁLIS FOGLALKOZTATÓJA 
2017. ÉVI BERUHÁZÁSI KIADÁSAI 
&amp;R&amp;"Times New Roman,Normál"4.4. sz. melléklet&amp;"MS Sans Serif,Normál"
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Munka44"/>
  <dimension ref="A1:I52"/>
  <sheetViews>
    <sheetView zoomScalePageLayoutView="0" workbookViewId="0" topLeftCell="A1">
      <pane xSplit="2" ySplit="2" topLeftCell="C30" activePane="bottomRight" state="frozen"/>
      <selection pane="topLeft" activeCell="H18" sqref="H18:H20"/>
      <selection pane="topRight" activeCell="H18" sqref="H18:H20"/>
      <selection pane="bottomLeft" activeCell="H18" sqref="H18:H20"/>
      <selection pane="bottomRight" activeCell="J45" sqref="J45"/>
    </sheetView>
  </sheetViews>
  <sheetFormatPr defaultColWidth="9.140625" defaultRowHeight="12.75"/>
  <cols>
    <col min="1" max="1" width="9.140625" style="1147" customWidth="1"/>
    <col min="2" max="2" width="55.28125" style="1147" customWidth="1"/>
    <col min="3" max="3" width="13.8515625" style="1146" customWidth="1"/>
    <col min="4" max="4" width="15.421875" style="1146" bestFit="1" customWidth="1"/>
    <col min="5" max="5" width="14.28125" style="1146" bestFit="1" customWidth="1"/>
    <col min="6" max="6" width="14.57421875" style="1146" customWidth="1"/>
    <col min="7" max="7" width="15.421875" style="1146" bestFit="1" customWidth="1"/>
    <col min="8" max="8" width="12.421875" style="1147" customWidth="1"/>
    <col min="9" max="9" width="14.140625" style="1146" customWidth="1"/>
    <col min="10" max="10" width="12.421875" style="1147" customWidth="1"/>
    <col min="11" max="11" width="10.00390625" style="1147" customWidth="1"/>
    <col min="12" max="16384" width="9.140625" style="1147" customWidth="1"/>
  </cols>
  <sheetData>
    <row r="1" spans="1:8" ht="13.5" customHeight="1">
      <c r="A1" s="1844" t="s">
        <v>523</v>
      </c>
      <c r="B1" s="1906" t="s">
        <v>1188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8" ht="42" customHeight="1" thickBot="1">
      <c r="A2" s="1845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9" s="1386" customFormat="1" ht="31.5">
      <c r="A3" s="1381" t="s">
        <v>185</v>
      </c>
      <c r="B3" s="1410" t="s">
        <v>186</v>
      </c>
      <c r="C3" s="1383">
        <f>SUM(C4:C4)</f>
        <v>10460</v>
      </c>
      <c r="D3" s="1383">
        <f>SUM(D4:D4)</f>
        <v>4980555</v>
      </c>
      <c r="E3" s="1383">
        <f>SUM(E4:E4)</f>
        <v>0</v>
      </c>
      <c r="F3" s="1383">
        <f>SUM(F4:F4)</f>
        <v>0</v>
      </c>
      <c r="G3" s="1383">
        <f>SUM(D3:F3)</f>
        <v>4980555</v>
      </c>
      <c r="H3" s="1384">
        <f>G3/(C3*1000)</f>
        <v>0.48</v>
      </c>
      <c r="I3" s="1385"/>
    </row>
    <row r="4" spans="1:9" s="1386" customFormat="1" ht="31.5">
      <c r="A4" s="1387"/>
      <c r="B4" s="1388" t="s">
        <v>949</v>
      </c>
      <c r="C4" s="1389">
        <v>10460</v>
      </c>
      <c r="D4" s="1389">
        <v>4980555</v>
      </c>
      <c r="E4" s="1389"/>
      <c r="F4" s="1389"/>
      <c r="G4" s="1389"/>
      <c r="H4" s="1390">
        <f>G4/(C4*1000)</f>
        <v>0</v>
      </c>
      <c r="I4" s="1385"/>
    </row>
    <row r="5" spans="1:9" s="1386" customFormat="1" ht="31.5">
      <c r="A5" s="1387" t="s">
        <v>187</v>
      </c>
      <c r="B5" s="1410" t="s">
        <v>145</v>
      </c>
      <c r="C5" s="1392"/>
      <c r="D5" s="1392"/>
      <c r="E5" s="1392"/>
      <c r="F5" s="1392"/>
      <c r="G5" s="1392">
        <f>SUM(D5:F5)</f>
        <v>0</v>
      </c>
      <c r="H5" s="1393"/>
      <c r="I5" s="1385"/>
    </row>
    <row r="6" spans="1:9" s="1386" customFormat="1" ht="19.5" customHeight="1">
      <c r="A6" s="1387" t="s">
        <v>193</v>
      </c>
      <c r="B6" s="1391" t="s">
        <v>148</v>
      </c>
      <c r="C6" s="1392"/>
      <c r="D6" s="1392"/>
      <c r="E6" s="1392"/>
      <c r="F6" s="1392"/>
      <c r="G6" s="1392">
        <f>SUM(D6:F6)</f>
        <v>0</v>
      </c>
      <c r="H6" s="1393"/>
      <c r="I6" s="1385"/>
    </row>
    <row r="7" spans="1:9" s="1386" customFormat="1" ht="19.5" customHeight="1">
      <c r="A7" s="1387" t="s">
        <v>469</v>
      </c>
      <c r="B7" s="1391" t="s">
        <v>664</v>
      </c>
      <c r="C7" s="1392">
        <v>78602</v>
      </c>
      <c r="D7" s="1392">
        <v>49533651</v>
      </c>
      <c r="E7" s="1392">
        <v>39226630</v>
      </c>
      <c r="F7" s="1392"/>
      <c r="G7" s="1392">
        <f>SUM(D7:F7)</f>
        <v>88760281</v>
      </c>
      <c r="H7" s="1393">
        <f>G7/(C7*1000)</f>
        <v>1.13</v>
      </c>
      <c r="I7" s="1385"/>
    </row>
    <row r="8" spans="1:9" s="1386" customFormat="1" ht="19.5" customHeight="1">
      <c r="A8" s="1387" t="s">
        <v>486</v>
      </c>
      <c r="B8" s="1391" t="s">
        <v>663</v>
      </c>
      <c r="C8" s="1392"/>
      <c r="D8" s="1392"/>
      <c r="E8" s="1392"/>
      <c r="F8" s="1392"/>
      <c r="G8" s="1392"/>
      <c r="H8" s="1393"/>
      <c r="I8" s="1385"/>
    </row>
    <row r="9" spans="1:9" s="1386" customFormat="1" ht="19.5" customHeight="1">
      <c r="A9" s="1387" t="s">
        <v>471</v>
      </c>
      <c r="B9" s="1391" t="s">
        <v>475</v>
      </c>
      <c r="C9" s="1392"/>
      <c r="D9" s="1392"/>
      <c r="E9" s="1392"/>
      <c r="F9" s="1392"/>
      <c r="G9" s="1392"/>
      <c r="H9" s="1393"/>
      <c r="I9" s="1385"/>
    </row>
    <row r="10" spans="1:9" s="1386" customFormat="1" ht="19.5" customHeight="1" thickBot="1">
      <c r="A10" s="1394" t="s">
        <v>473</v>
      </c>
      <c r="B10" s="1395" t="s">
        <v>474</v>
      </c>
      <c r="C10" s="1396"/>
      <c r="D10" s="1396"/>
      <c r="E10" s="1396"/>
      <c r="F10" s="1396"/>
      <c r="G10" s="1396"/>
      <c r="H10" s="1397"/>
      <c r="I10" s="1385"/>
    </row>
    <row r="11" spans="1:9" s="1451" customFormat="1" ht="15" customHeight="1" thickBot="1">
      <c r="A11" s="782" t="s">
        <v>476</v>
      </c>
      <c r="B11" s="783" t="s">
        <v>286</v>
      </c>
      <c r="C11" s="784">
        <f>C3+C5+C6+C7+C8+C9+C10</f>
        <v>89062</v>
      </c>
      <c r="D11" s="784">
        <f>D3+D5+D6+D7+D8+D9+D10</f>
        <v>54514206</v>
      </c>
      <c r="E11" s="784">
        <f>E3+E5+E6+E7+E8+E9+E10</f>
        <v>39226630</v>
      </c>
      <c r="F11" s="784">
        <f>F3+F5+F6+F7+F8+F9+F10</f>
        <v>0</v>
      </c>
      <c r="G11" s="1139">
        <f>SUM(D11:F11)</f>
        <v>93740836</v>
      </c>
      <c r="H11" s="786">
        <f>G11/(C11*1000)</f>
        <v>1.05</v>
      </c>
      <c r="I11" s="1450"/>
    </row>
    <row r="12" spans="1:9" s="1451" customFormat="1" ht="15" customHeight="1">
      <c r="A12" s="1381" t="s">
        <v>477</v>
      </c>
      <c r="B12" s="1382" t="s">
        <v>478</v>
      </c>
      <c r="C12" s="1383">
        <f>+C13</f>
        <v>100404</v>
      </c>
      <c r="D12" s="1383">
        <f>+D13</f>
        <v>114469006</v>
      </c>
      <c r="E12" s="1383">
        <f>+E13</f>
        <v>10421631</v>
      </c>
      <c r="F12" s="1383">
        <f>+F13</f>
        <v>0</v>
      </c>
      <c r="G12" s="1383">
        <f>+G13</f>
        <v>124890637</v>
      </c>
      <c r="H12" s="1384">
        <f>G12/(C12*1000)</f>
        <v>1.24</v>
      </c>
      <c r="I12" s="1450"/>
    </row>
    <row r="13" spans="1:9" s="1451" customFormat="1" ht="15" customHeight="1">
      <c r="A13" s="1400" t="s">
        <v>483</v>
      </c>
      <c r="B13" s="1401" t="s">
        <v>484</v>
      </c>
      <c r="C13" s="1402">
        <f>+C14+C17</f>
        <v>100404</v>
      </c>
      <c r="D13" s="1402">
        <f>+D14+D17</f>
        <v>114469006</v>
      </c>
      <c r="E13" s="1402">
        <f>+E14+E17</f>
        <v>10421631</v>
      </c>
      <c r="F13" s="1402">
        <f>+F14+F17</f>
        <v>0</v>
      </c>
      <c r="G13" s="1402">
        <f aca="true" t="shared" si="0" ref="G13:G20">SUM(D13:F13)</f>
        <v>124890637</v>
      </c>
      <c r="H13" s="1403">
        <f>G13/(C13*1000)</f>
        <v>1.24</v>
      </c>
      <c r="I13" s="1450"/>
    </row>
    <row r="14" spans="1:9" s="1451" customFormat="1" ht="15" customHeight="1">
      <c r="A14" s="1160" t="s">
        <v>479</v>
      </c>
      <c r="B14" s="1166" t="s">
        <v>480</v>
      </c>
      <c r="C14" s="1167">
        <f>SUM(C15:C16)</f>
        <v>1955</v>
      </c>
      <c r="D14" s="1167">
        <f>SUM(D15:D16)</f>
        <v>5750091</v>
      </c>
      <c r="E14" s="1167">
        <f>SUM(E15:E16)</f>
        <v>0</v>
      </c>
      <c r="F14" s="1167">
        <f>SUM(F15:F16)</f>
        <v>0</v>
      </c>
      <c r="G14" s="1162">
        <f>SUM(D14:F14)</f>
        <v>5750091</v>
      </c>
      <c r="H14" s="1168">
        <f>G14/(C14*1000)</f>
        <v>2.94</v>
      </c>
      <c r="I14" s="1450"/>
    </row>
    <row r="15" spans="1:9" s="1451" customFormat="1" ht="15" customHeight="1">
      <c r="A15" s="809"/>
      <c r="B15" s="1148" t="s">
        <v>241</v>
      </c>
      <c r="C15" s="811">
        <v>1955</v>
      </c>
      <c r="D15" s="811">
        <v>2347787</v>
      </c>
      <c r="E15" s="811"/>
      <c r="F15" s="811"/>
      <c r="G15" s="811">
        <f t="shared" si="0"/>
        <v>2347787</v>
      </c>
      <c r="H15" s="1169">
        <f>G15/(C15*1000)</f>
        <v>1.2</v>
      </c>
      <c r="I15" s="1450"/>
    </row>
    <row r="16" spans="1:9" s="1451" customFormat="1" ht="15" customHeight="1">
      <c r="A16" s="809"/>
      <c r="B16" s="1148" t="s">
        <v>242</v>
      </c>
      <c r="C16" s="811"/>
      <c r="D16" s="811">
        <v>3402304</v>
      </c>
      <c r="E16" s="811"/>
      <c r="F16" s="811"/>
      <c r="G16" s="811">
        <f t="shared" si="0"/>
        <v>3402304</v>
      </c>
      <c r="H16" s="1169"/>
      <c r="I16" s="1450"/>
    </row>
    <row r="17" spans="1:9" s="1451" customFormat="1" ht="15" customHeight="1">
      <c r="A17" s="1160" t="s">
        <v>665</v>
      </c>
      <c r="B17" s="1161" t="s">
        <v>666</v>
      </c>
      <c r="C17" s="1162">
        <f>SUM(C18:C19)</f>
        <v>98449</v>
      </c>
      <c r="D17" s="1162">
        <f>SUM(D18:D19)</f>
        <v>108718915</v>
      </c>
      <c r="E17" s="1162">
        <f>SUM(E18:E19)</f>
        <v>10421631</v>
      </c>
      <c r="F17" s="1162">
        <f>SUM(F18:F19)</f>
        <v>0</v>
      </c>
      <c r="G17" s="793">
        <f>SUM(D17:F17)</f>
        <v>119140546</v>
      </c>
      <c r="H17" s="1163">
        <f>G17/(C17*1000)</f>
        <v>1.21</v>
      </c>
      <c r="I17" s="1450"/>
    </row>
    <row r="18" spans="1:9" s="1453" customFormat="1" ht="15" customHeight="1">
      <c r="A18" s="1171"/>
      <c r="B18" s="1172" t="s">
        <v>667</v>
      </c>
      <c r="C18" s="717">
        <v>97814</v>
      </c>
      <c r="D18" s="717">
        <v>108718915</v>
      </c>
      <c r="E18" s="717">
        <v>10421631</v>
      </c>
      <c r="F18" s="717"/>
      <c r="G18" s="797">
        <f t="shared" si="0"/>
        <v>119140546</v>
      </c>
      <c r="H18" s="1173">
        <f>G18/(C18*1000)</f>
        <v>1.22</v>
      </c>
      <c r="I18" s="1452"/>
    </row>
    <row r="19" spans="1:9" s="1405" customFormat="1" ht="15" customHeight="1" thickBot="1">
      <c r="A19" s="1171"/>
      <c r="B19" s="1172" t="s">
        <v>668</v>
      </c>
      <c r="C19" s="717">
        <v>635</v>
      </c>
      <c r="D19" s="717"/>
      <c r="E19" s="717"/>
      <c r="F19" s="717"/>
      <c r="G19" s="797">
        <f t="shared" si="0"/>
        <v>0</v>
      </c>
      <c r="H19" s="1173">
        <f>G19/(C19*1000)</f>
        <v>0</v>
      </c>
      <c r="I19" s="1404"/>
    </row>
    <row r="20" spans="1:9" s="1386" customFormat="1" ht="24.75" customHeight="1" thickBot="1">
      <c r="A20" s="1141"/>
      <c r="B20" s="1142" t="s">
        <v>78</v>
      </c>
      <c r="C20" s="1408">
        <f>C11+C12</f>
        <v>189466</v>
      </c>
      <c r="D20" s="1408">
        <f>D11+D12</f>
        <v>168983212</v>
      </c>
      <c r="E20" s="1408">
        <f>E11+E12</f>
        <v>49648261</v>
      </c>
      <c r="F20" s="1409">
        <f>F11+F12</f>
        <v>0</v>
      </c>
      <c r="G20" s="1408">
        <f t="shared" si="0"/>
        <v>218631473</v>
      </c>
      <c r="H20" s="1144">
        <f>G20/(C20*1000)</f>
        <v>1.15</v>
      </c>
      <c r="I20" s="1385"/>
    </row>
    <row r="21" spans="1:8" ht="16.5" thickBot="1">
      <c r="A21" s="1435"/>
      <c r="C21" s="1147"/>
      <c r="D21" s="1147"/>
      <c r="E21" s="1147"/>
      <c r="F21" s="1147"/>
      <c r="G21" s="1147"/>
      <c r="H21" s="1436"/>
    </row>
    <row r="22" spans="1:8" ht="13.5" customHeight="1">
      <c r="A22" s="805"/>
      <c r="B22" s="806" t="s">
        <v>549</v>
      </c>
      <c r="C22" s="807">
        <f>C3+C6+C7+C9</f>
        <v>89062</v>
      </c>
      <c r="D22" s="807">
        <f>D3+D6+D7+D9</f>
        <v>54514206</v>
      </c>
      <c r="E22" s="807">
        <f>E3+E6+E7+E9</f>
        <v>39226630</v>
      </c>
      <c r="F22" s="807">
        <f>F3+F6+F7+F9</f>
        <v>0</v>
      </c>
      <c r="G22" s="807">
        <f aca="true" t="shared" si="1" ref="G22:G28">SUM(D22:F22)</f>
        <v>93740836</v>
      </c>
      <c r="H22" s="808">
        <f>G22/(C22*1000)</f>
        <v>1.05</v>
      </c>
    </row>
    <row r="23" spans="1:8" ht="15.75">
      <c r="A23" s="809"/>
      <c r="B23" s="810" t="s">
        <v>550</v>
      </c>
      <c r="C23" s="811">
        <f>C5+C8+C10</f>
        <v>0</v>
      </c>
      <c r="D23" s="811">
        <f>D5+D8+D10</f>
        <v>0</v>
      </c>
      <c r="E23" s="811">
        <f>E5+E8+E10</f>
        <v>0</v>
      </c>
      <c r="F23" s="811">
        <f>F5+F8+F10</f>
        <v>0</v>
      </c>
      <c r="G23" s="811">
        <f t="shared" si="1"/>
        <v>0</v>
      </c>
      <c r="H23" s="812"/>
    </row>
    <row r="24" spans="1:8" ht="15.75">
      <c r="A24" s="809"/>
      <c r="B24" s="810" t="s">
        <v>551</v>
      </c>
      <c r="C24" s="811">
        <f aca="true" t="shared" si="2" ref="C24:F25">+C15+C18</f>
        <v>99769</v>
      </c>
      <c r="D24" s="811">
        <f t="shared" si="2"/>
        <v>111066702</v>
      </c>
      <c r="E24" s="811">
        <f t="shared" si="2"/>
        <v>10421631</v>
      </c>
      <c r="F24" s="811">
        <f t="shared" si="2"/>
        <v>0</v>
      </c>
      <c r="G24" s="811">
        <f t="shared" si="1"/>
        <v>121488333</v>
      </c>
      <c r="H24" s="812">
        <f>G24/(C24*1000)</f>
        <v>1.22</v>
      </c>
    </row>
    <row r="25" spans="1:8" ht="16.5" thickBot="1">
      <c r="A25" s="813"/>
      <c r="B25" s="814" t="s">
        <v>552</v>
      </c>
      <c r="C25" s="815">
        <f t="shared" si="2"/>
        <v>635</v>
      </c>
      <c r="D25" s="815">
        <f t="shared" si="2"/>
        <v>3402304</v>
      </c>
      <c r="E25" s="815">
        <f t="shared" si="2"/>
        <v>0</v>
      </c>
      <c r="F25" s="815">
        <f t="shared" si="2"/>
        <v>0</v>
      </c>
      <c r="G25" s="1175">
        <f t="shared" si="1"/>
        <v>3402304</v>
      </c>
      <c r="H25" s="816">
        <f>G25/(C25*1000)</f>
        <v>5.36</v>
      </c>
    </row>
    <row r="26" spans="1:9" ht="15.75">
      <c r="A26" s="817"/>
      <c r="B26" s="818" t="s">
        <v>553</v>
      </c>
      <c r="C26" s="819">
        <f aca="true" t="shared" si="3" ref="C26:F27">C22+C24</f>
        <v>188831</v>
      </c>
      <c r="D26" s="819">
        <f t="shared" si="3"/>
        <v>165580908</v>
      </c>
      <c r="E26" s="819">
        <f t="shared" si="3"/>
        <v>49648261</v>
      </c>
      <c r="F26" s="818">
        <f t="shared" si="3"/>
        <v>0</v>
      </c>
      <c r="G26" s="819">
        <f t="shared" si="1"/>
        <v>215229169</v>
      </c>
      <c r="H26" s="820">
        <f>G26/(C26*1000)</f>
        <v>1.14</v>
      </c>
      <c r="I26" s="1454"/>
    </row>
    <row r="27" spans="1:9" ht="16.5" thickBot="1">
      <c r="A27" s="821"/>
      <c r="B27" s="822" t="s">
        <v>554</v>
      </c>
      <c r="C27" s="823">
        <f t="shared" si="3"/>
        <v>635</v>
      </c>
      <c r="D27" s="823">
        <f t="shared" si="3"/>
        <v>3402304</v>
      </c>
      <c r="E27" s="823">
        <f t="shared" si="3"/>
        <v>0</v>
      </c>
      <c r="F27" s="822">
        <f t="shared" si="3"/>
        <v>0</v>
      </c>
      <c r="G27" s="823">
        <f t="shared" si="1"/>
        <v>3402304</v>
      </c>
      <c r="H27" s="824"/>
      <c r="I27" s="1454"/>
    </row>
    <row r="28" spans="1:9" ht="16.5" thickBot="1">
      <c r="A28" s="825"/>
      <c r="B28" s="826" t="s">
        <v>555</v>
      </c>
      <c r="C28" s="827">
        <f>C26+C27</f>
        <v>189466</v>
      </c>
      <c r="D28" s="827">
        <f>D26+D27</f>
        <v>168983212</v>
      </c>
      <c r="E28" s="827">
        <f>E26+E27</f>
        <v>49648261</v>
      </c>
      <c r="F28" s="826">
        <f>F26+F27</f>
        <v>0</v>
      </c>
      <c r="G28" s="827">
        <f t="shared" si="1"/>
        <v>218631473</v>
      </c>
      <c r="H28" s="828">
        <f>G28/(C28*1000)</f>
        <v>1.15</v>
      </c>
      <c r="I28" s="1454"/>
    </row>
    <row r="29" ht="16.5" thickBot="1">
      <c r="A29" s="1435"/>
    </row>
    <row r="30" spans="1:8" ht="13.5" customHeight="1">
      <c r="A30" s="1904" t="s">
        <v>523</v>
      </c>
      <c r="B30" s="1906" t="s">
        <v>1189</v>
      </c>
      <c r="C30" s="1854" t="s">
        <v>1065</v>
      </c>
      <c r="D30" s="1851" t="s">
        <v>1050</v>
      </c>
      <c r="E30" s="1852"/>
      <c r="F30" s="1852"/>
      <c r="G30" s="1853"/>
      <c r="H30" s="1848" t="s">
        <v>1051</v>
      </c>
    </row>
    <row r="31" spans="1:8" ht="48" thickBot="1">
      <c r="A31" s="1905"/>
      <c r="B31" s="1907"/>
      <c r="C31" s="1855"/>
      <c r="D31" s="1136" t="s">
        <v>287</v>
      </c>
      <c r="E31" s="1136" t="s">
        <v>795</v>
      </c>
      <c r="F31" s="1136" t="s">
        <v>796</v>
      </c>
      <c r="G31" s="1136" t="s">
        <v>65</v>
      </c>
      <c r="H31" s="1849"/>
    </row>
    <row r="32" spans="1:9" s="1386" customFormat="1" ht="24.75" customHeight="1">
      <c r="A32" s="1381" t="s">
        <v>104</v>
      </c>
      <c r="B32" s="1382" t="s">
        <v>105</v>
      </c>
      <c r="C32" s="1383">
        <v>68485</v>
      </c>
      <c r="D32" s="1383">
        <v>63946803</v>
      </c>
      <c r="E32" s="1383">
        <v>8350100</v>
      </c>
      <c r="F32" s="1383"/>
      <c r="G32" s="1383">
        <f aca="true" t="shared" si="4" ref="G32:G44">SUM(D32:F32)</f>
        <v>72296903</v>
      </c>
      <c r="H32" s="1384">
        <f>G32/(C32*1000)</f>
        <v>1.06</v>
      </c>
      <c r="I32" s="1385"/>
    </row>
    <row r="33" spans="1:9" s="1386" customFormat="1" ht="24.75" customHeight="1">
      <c r="A33" s="1441"/>
      <c r="B33" s="1442" t="s">
        <v>1102</v>
      </c>
      <c r="C33" s="1443">
        <v>11520</v>
      </c>
      <c r="D33" s="1443">
        <v>4454440</v>
      </c>
      <c r="E33" s="1443"/>
      <c r="F33" s="1443"/>
      <c r="G33" s="1443">
        <f t="shared" si="4"/>
        <v>4454440</v>
      </c>
      <c r="H33" s="1444">
        <f>G33/(C33*1000)</f>
        <v>0.39</v>
      </c>
      <c r="I33" s="1385"/>
    </row>
    <row r="34" spans="1:9" s="1386" customFormat="1" ht="31.5">
      <c r="A34" s="1387" t="s">
        <v>106</v>
      </c>
      <c r="B34" s="1410" t="s">
        <v>107</v>
      </c>
      <c r="C34" s="1392">
        <v>17415</v>
      </c>
      <c r="D34" s="1392">
        <v>15749724</v>
      </c>
      <c r="E34" s="1392">
        <v>2071531</v>
      </c>
      <c r="F34" s="1392"/>
      <c r="G34" s="1392">
        <f t="shared" si="4"/>
        <v>17821255</v>
      </c>
      <c r="H34" s="1393">
        <f>G34/(C34*1000)</f>
        <v>1.02</v>
      </c>
      <c r="I34" s="1385"/>
    </row>
    <row r="35" spans="1:9" s="1386" customFormat="1" ht="24.75" customHeight="1">
      <c r="A35" s="1441"/>
      <c r="B35" s="1442" t="s">
        <v>1102</v>
      </c>
      <c r="C35" s="1443">
        <v>1555</v>
      </c>
      <c r="D35" s="1443">
        <v>526115</v>
      </c>
      <c r="E35" s="1443"/>
      <c r="F35" s="1443"/>
      <c r="G35" s="1443">
        <f>SUM(D35:F35)</f>
        <v>526115</v>
      </c>
      <c r="H35" s="1444">
        <f>G35/(C35*1000)</f>
        <v>0.34</v>
      </c>
      <c r="I35" s="1385"/>
    </row>
    <row r="36" spans="1:9" s="1386" customFormat="1" ht="24.75" customHeight="1">
      <c r="A36" s="1387" t="s">
        <v>108</v>
      </c>
      <c r="B36" s="1391" t="s">
        <v>109</v>
      </c>
      <c r="C36" s="1392">
        <v>102931</v>
      </c>
      <c r="D36" s="1392">
        <v>85884381</v>
      </c>
      <c r="E36" s="1392">
        <v>39226630</v>
      </c>
      <c r="F36" s="1392"/>
      <c r="G36" s="1392">
        <f t="shared" si="4"/>
        <v>125111011</v>
      </c>
      <c r="H36" s="1393">
        <f>G36/(C36*1000)</f>
        <v>1.22</v>
      </c>
      <c r="I36" s="1385"/>
    </row>
    <row r="37" spans="1:9" s="1386" customFormat="1" ht="24.75" customHeight="1">
      <c r="A37" s="1387" t="s">
        <v>110</v>
      </c>
      <c r="B37" s="1391" t="s">
        <v>111</v>
      </c>
      <c r="C37" s="1392"/>
      <c r="D37" s="1392"/>
      <c r="E37" s="1392"/>
      <c r="F37" s="1392"/>
      <c r="G37" s="1392">
        <f t="shared" si="4"/>
        <v>0</v>
      </c>
      <c r="H37" s="1393"/>
      <c r="I37" s="1385"/>
    </row>
    <row r="38" spans="1:9" s="1386" customFormat="1" ht="24.75" customHeight="1">
      <c r="A38" s="1387" t="s">
        <v>112</v>
      </c>
      <c r="B38" s="1391" t="s">
        <v>113</v>
      </c>
      <c r="C38" s="1392"/>
      <c r="D38" s="1392"/>
      <c r="E38" s="1392"/>
      <c r="F38" s="1392"/>
      <c r="G38" s="1392">
        <f t="shared" si="4"/>
        <v>0</v>
      </c>
      <c r="H38" s="1393"/>
      <c r="I38" s="1385"/>
    </row>
    <row r="39" spans="1:9" s="1386" customFormat="1" ht="24.75" customHeight="1">
      <c r="A39" s="1387" t="s">
        <v>548</v>
      </c>
      <c r="B39" s="1391" t="s">
        <v>121</v>
      </c>
      <c r="C39" s="1392">
        <v>635</v>
      </c>
      <c r="D39" s="1392">
        <v>3402304</v>
      </c>
      <c r="E39" s="1392"/>
      <c r="F39" s="1392"/>
      <c r="G39" s="1392">
        <f t="shared" si="4"/>
        <v>3402304</v>
      </c>
      <c r="H39" s="1393">
        <f>G39/(C39*1000)</f>
        <v>5.36</v>
      </c>
      <c r="I39" s="1385"/>
    </row>
    <row r="40" spans="1:9" s="1386" customFormat="1" ht="24.75" customHeight="1">
      <c r="A40" s="1387" t="s">
        <v>122</v>
      </c>
      <c r="B40" s="1391" t="s">
        <v>123</v>
      </c>
      <c r="C40" s="1392"/>
      <c r="D40" s="1392"/>
      <c r="E40" s="1392"/>
      <c r="F40" s="1392"/>
      <c r="G40" s="1392">
        <f t="shared" si="4"/>
        <v>0</v>
      </c>
      <c r="H40" s="1393"/>
      <c r="I40" s="1385"/>
    </row>
    <row r="41" spans="1:9" s="1386" customFormat="1" ht="24.75" customHeight="1" thickBot="1">
      <c r="A41" s="1394" t="s">
        <v>124</v>
      </c>
      <c r="B41" s="1395" t="s">
        <v>125</v>
      </c>
      <c r="C41" s="1396"/>
      <c r="D41" s="1396"/>
      <c r="E41" s="1396"/>
      <c r="F41" s="1396"/>
      <c r="G41" s="1396">
        <f t="shared" si="4"/>
        <v>0</v>
      </c>
      <c r="H41" s="1411"/>
      <c r="I41" s="1385"/>
    </row>
    <row r="42" spans="1:8" ht="16.5" thickBot="1">
      <c r="A42" s="782" t="s">
        <v>138</v>
      </c>
      <c r="B42" s="783" t="s">
        <v>139</v>
      </c>
      <c r="C42" s="784">
        <f>C32+C34+C36+C37+C38+C39+C40+C41</f>
        <v>189466</v>
      </c>
      <c r="D42" s="784">
        <f>D32+D34+D36+D37+D38+D39+D40+D41</f>
        <v>168983212</v>
      </c>
      <c r="E42" s="784">
        <f>E32+E34+E36+E37+E38+E39+E40+E41</f>
        <v>49648261</v>
      </c>
      <c r="F42" s="784">
        <f>F32+F34+F36+F37+F38+F39+F40+F41</f>
        <v>0</v>
      </c>
      <c r="G42" s="1139">
        <f t="shared" si="4"/>
        <v>218631473</v>
      </c>
      <c r="H42" s="786">
        <f>G42/(C42*1000)</f>
        <v>1.15</v>
      </c>
    </row>
    <row r="43" spans="1:9" s="1386" customFormat="1" ht="24.75" customHeight="1" thickBot="1">
      <c r="A43" s="1437" t="s">
        <v>129</v>
      </c>
      <c r="B43" s="1438" t="s">
        <v>130</v>
      </c>
      <c r="C43" s="1439"/>
      <c r="D43" s="1439"/>
      <c r="E43" s="1439"/>
      <c r="F43" s="1439"/>
      <c r="G43" s="1439">
        <f t="shared" si="4"/>
        <v>0</v>
      </c>
      <c r="H43" s="1440"/>
      <c r="I43" s="1385"/>
    </row>
    <row r="44" spans="1:8" s="1449" customFormat="1" ht="24.75" customHeight="1" thickBot="1">
      <c r="A44" s="1141"/>
      <c r="B44" s="1142" t="s">
        <v>77</v>
      </c>
      <c r="C44" s="1408">
        <f>C43+C42</f>
        <v>189466</v>
      </c>
      <c r="D44" s="1408">
        <f>D43+D42</f>
        <v>168983212</v>
      </c>
      <c r="E44" s="1408">
        <f>E43+E42</f>
        <v>49648261</v>
      </c>
      <c r="F44" s="1409">
        <f>F43+F42</f>
        <v>0</v>
      </c>
      <c r="G44" s="1408">
        <f t="shared" si="4"/>
        <v>218631473</v>
      </c>
      <c r="H44" s="1144">
        <f>G44/(C44*1000)</f>
        <v>1.15</v>
      </c>
    </row>
    <row r="45" spans="1:8" ht="16.5" thickBot="1">
      <c r="A45" s="800"/>
      <c r="B45" s="801"/>
      <c r="C45" s="802"/>
      <c r="D45" s="802"/>
      <c r="E45" s="802"/>
      <c r="F45" s="803"/>
      <c r="G45" s="803"/>
      <c r="H45" s="804"/>
    </row>
    <row r="46" spans="1:9" ht="15.75">
      <c r="A46" s="805"/>
      <c r="B46" s="806" t="s">
        <v>158</v>
      </c>
      <c r="C46" s="807">
        <f>C32+C34+C36+C37+C38</f>
        <v>188831</v>
      </c>
      <c r="D46" s="807">
        <f>D32+D34+D36+D37+D38</f>
        <v>165580908</v>
      </c>
      <c r="E46" s="807">
        <f>E32+E34+E36+E37+E38</f>
        <v>49648261</v>
      </c>
      <c r="F46" s="807">
        <f>F32+F34+F36+F37+F38</f>
        <v>0</v>
      </c>
      <c r="G46" s="807">
        <f>SUM(D46:F46)</f>
        <v>215229169</v>
      </c>
      <c r="H46" s="808">
        <f>G46/(C46*1000)</f>
        <v>1.14</v>
      </c>
      <c r="I46" s="1454"/>
    </row>
    <row r="47" spans="1:9" ht="15.75">
      <c r="A47" s="809"/>
      <c r="B47" s="810" t="s">
        <v>159</v>
      </c>
      <c r="C47" s="811">
        <f>C39+C40+C41</f>
        <v>635</v>
      </c>
      <c r="D47" s="811">
        <f>D39+D40+D41</f>
        <v>3402304</v>
      </c>
      <c r="E47" s="811">
        <f>E39+E40+E41</f>
        <v>0</v>
      </c>
      <c r="F47" s="811">
        <f>F39+F40+F41</f>
        <v>0</v>
      </c>
      <c r="G47" s="811">
        <f>SUM(D47:F47)</f>
        <v>3402304</v>
      </c>
      <c r="H47" s="812">
        <f>G47/(C47*1000)</f>
        <v>5.36</v>
      </c>
      <c r="I47" s="1454"/>
    </row>
    <row r="48" spans="1:9" ht="15.75">
      <c r="A48" s="809"/>
      <c r="B48" s="810" t="s">
        <v>160</v>
      </c>
      <c r="C48" s="811">
        <f>C43</f>
        <v>0</v>
      </c>
      <c r="D48" s="811">
        <f>D43</f>
        <v>0</v>
      </c>
      <c r="E48" s="811">
        <f>E43</f>
        <v>0</v>
      </c>
      <c r="F48" s="811">
        <f>F43</f>
        <v>0</v>
      </c>
      <c r="G48" s="811">
        <f>SUM(D48:F48)</f>
        <v>0</v>
      </c>
      <c r="H48" s="812"/>
      <c r="I48" s="1454"/>
    </row>
    <row r="49" spans="1:9" ht="16.5" thickBot="1">
      <c r="A49" s="813"/>
      <c r="B49" s="814" t="s">
        <v>161</v>
      </c>
      <c r="C49" s="815">
        <f>C43</f>
        <v>0</v>
      </c>
      <c r="D49" s="815">
        <f>D43</f>
        <v>0</v>
      </c>
      <c r="E49" s="815">
        <f>E43</f>
        <v>0</v>
      </c>
      <c r="F49" s="815">
        <f>F43</f>
        <v>0</v>
      </c>
      <c r="G49" s="815">
        <f>G43</f>
        <v>0</v>
      </c>
      <c r="H49" s="816"/>
      <c r="I49" s="1454"/>
    </row>
    <row r="50" spans="1:9" ht="15.75">
      <c r="A50" s="817"/>
      <c r="B50" s="818" t="s">
        <v>162</v>
      </c>
      <c r="C50" s="819">
        <f aca="true" t="shared" si="5" ref="C50:F51">C46+C48</f>
        <v>188831</v>
      </c>
      <c r="D50" s="819">
        <f t="shared" si="5"/>
        <v>165580908</v>
      </c>
      <c r="E50" s="819">
        <f t="shared" si="5"/>
        <v>49648261</v>
      </c>
      <c r="F50" s="818">
        <f t="shared" si="5"/>
        <v>0</v>
      </c>
      <c r="G50" s="819">
        <f>SUM(D50:F50)</f>
        <v>215229169</v>
      </c>
      <c r="H50" s="820">
        <f>G50/(C50*1000)</f>
        <v>1.14</v>
      </c>
      <c r="I50" s="1454"/>
    </row>
    <row r="51" spans="1:9" ht="16.5" thickBot="1">
      <c r="A51" s="821"/>
      <c r="B51" s="822" t="s">
        <v>163</v>
      </c>
      <c r="C51" s="823">
        <f t="shared" si="5"/>
        <v>635</v>
      </c>
      <c r="D51" s="823">
        <f t="shared" si="5"/>
        <v>3402304</v>
      </c>
      <c r="E51" s="823">
        <f t="shared" si="5"/>
        <v>0</v>
      </c>
      <c r="F51" s="822">
        <f t="shared" si="5"/>
        <v>0</v>
      </c>
      <c r="G51" s="823">
        <f>SUM(D51:F51)</f>
        <v>3402304</v>
      </c>
      <c r="H51" s="824">
        <f>G51/(C51*1000)</f>
        <v>5.36</v>
      </c>
      <c r="I51" s="1454"/>
    </row>
    <row r="52" spans="1:9" ht="16.5" thickBot="1">
      <c r="A52" s="825"/>
      <c r="B52" s="826" t="s">
        <v>164</v>
      </c>
      <c r="C52" s="827">
        <f>C50+C51</f>
        <v>189466</v>
      </c>
      <c r="D52" s="827">
        <f>D50+D51</f>
        <v>168983212</v>
      </c>
      <c r="E52" s="827">
        <f>E50+E51</f>
        <v>49648261</v>
      </c>
      <c r="F52" s="826">
        <f>F50+F51</f>
        <v>0</v>
      </c>
      <c r="G52" s="827">
        <f>SUM(D52:F52)</f>
        <v>218631473</v>
      </c>
      <c r="H52" s="828">
        <f>G52/(C52*1000)</f>
        <v>1.15</v>
      </c>
      <c r="I52" s="1454"/>
    </row>
  </sheetData>
  <sheetProtection/>
  <mergeCells count="10">
    <mergeCell ref="H1:H2"/>
    <mergeCell ref="A30:A31"/>
    <mergeCell ref="B30:B31"/>
    <mergeCell ref="C30:C31"/>
    <mergeCell ref="D30:G30"/>
    <mergeCell ref="H30:H31"/>
    <mergeCell ref="A1:A2"/>
    <mergeCell ref="D1:G1"/>
    <mergeCell ref="C1:C2"/>
    <mergeCell ref="B1:B2"/>
  </mergeCells>
  <printOptions horizontalCentered="1"/>
  <pageMargins left="0.3937007874015748" right="0.3937007874015748" top="0.7874015748031497" bottom="0.7874015748031497" header="0.3937007874015748" footer="0.3937007874015748"/>
  <pageSetup fitToHeight="2" orientation="landscape" paperSize="9" scale="91" r:id="rId1"/>
  <headerFooter alignWithMargins="0">
    <oddHeader>&amp;C&amp;"Times New Roman,Félkövér"CSILI MŰVELŐDÉSI KÖZPONT
 2017. ÉVI BEVÉTELEI ÉS KIADÁSAI
&amp;R&amp;"Times New Roman,Félkövér"4.5. sz. melléklet&amp;"MS Sans Serif,Normál"
</oddHeader>
  </headerFooter>
  <rowBreaks count="1" manualBreakCount="1">
    <brk id="28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 codeName="Munka65">
    <pageSetUpPr fitToPage="1"/>
  </sheetPr>
  <dimension ref="A1:H14"/>
  <sheetViews>
    <sheetView zoomScale="80" zoomScaleNormal="80" zoomScalePageLayoutView="0" workbookViewId="0" topLeftCell="A1">
      <pane ySplit="1" topLeftCell="A2" activePane="bottomLeft" state="frozen"/>
      <selection pane="topLeft" activeCell="D16" sqref="D16"/>
      <selection pane="bottomLeft" activeCell="L27" sqref="L27"/>
    </sheetView>
  </sheetViews>
  <sheetFormatPr defaultColWidth="9.140625" defaultRowHeight="12.75"/>
  <cols>
    <col min="1" max="1" width="9.140625" style="694" customWidth="1"/>
    <col min="2" max="2" width="70.7109375" style="694" customWidth="1"/>
    <col min="3" max="8" width="18.28125" style="694" customWidth="1"/>
    <col min="9" max="16384" width="9.140625" style="694" customWidth="1"/>
  </cols>
  <sheetData>
    <row r="1" spans="1:8" ht="13.5" customHeight="1">
      <c r="A1" s="1928" t="s">
        <v>523</v>
      </c>
      <c r="B1" s="1906" t="s">
        <v>500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8" ht="48" thickBot="1">
      <c r="A2" s="1929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8" ht="15.75">
      <c r="A3" s="707" t="s">
        <v>213</v>
      </c>
      <c r="B3" s="708" t="s">
        <v>214</v>
      </c>
      <c r="C3" s="709"/>
      <c r="D3" s="709"/>
      <c r="E3" s="708"/>
      <c r="F3" s="708"/>
      <c r="G3" s="709">
        <f>SUM(D3:F3)</f>
        <v>0</v>
      </c>
      <c r="H3" s="721"/>
    </row>
    <row r="4" spans="1:8" ht="15" customHeight="1">
      <c r="A4" s="714" t="s">
        <v>215</v>
      </c>
      <c r="B4" s="691" t="s">
        <v>216</v>
      </c>
      <c r="C4" s="695"/>
      <c r="D4" s="695"/>
      <c r="E4" s="695"/>
      <c r="F4" s="695"/>
      <c r="G4" s="695">
        <f>SUM(D4:F4)</f>
        <v>0</v>
      </c>
      <c r="H4" s="1427"/>
    </row>
    <row r="5" spans="1:8" ht="15" customHeight="1">
      <c r="A5" s="714" t="s">
        <v>534</v>
      </c>
      <c r="B5" s="691" t="s">
        <v>535</v>
      </c>
      <c r="C5" s="700">
        <f>SUM(C6:C6)</f>
        <v>0</v>
      </c>
      <c r="D5" s="695">
        <f>SUM(D6:D6)</f>
        <v>131670</v>
      </c>
      <c r="E5" s="1428">
        <f>SUM(E6:E6)</f>
        <v>0</v>
      </c>
      <c r="F5" s="1428">
        <f>SUM(F6:F6)</f>
        <v>0</v>
      </c>
      <c r="G5" s="700">
        <f aca="true" t="shared" si="0" ref="G5:G14">SUM(D5:F5)</f>
        <v>131670</v>
      </c>
      <c r="H5" s="701"/>
    </row>
    <row r="6" spans="1:8" ht="15" customHeight="1">
      <c r="A6" s="715"/>
      <c r="B6" s="690" t="s">
        <v>556</v>
      </c>
      <c r="C6" s="696"/>
      <c r="D6" s="696">
        <v>131670</v>
      </c>
      <c r="E6" s="697"/>
      <c r="F6" s="697"/>
      <c r="G6" s="696">
        <f t="shared" si="0"/>
        <v>131670</v>
      </c>
      <c r="H6" s="698"/>
    </row>
    <row r="7" spans="1:8" ht="15" customHeight="1">
      <c r="A7" s="714" t="s">
        <v>536</v>
      </c>
      <c r="B7" s="691" t="s">
        <v>537</v>
      </c>
      <c r="C7" s="695">
        <f>C8+C10</f>
        <v>500</v>
      </c>
      <c r="D7" s="695">
        <f>D8+D10</f>
        <v>2547310</v>
      </c>
      <c r="E7" s="695">
        <f>E8+E10</f>
        <v>0</v>
      </c>
      <c r="F7" s="695">
        <f>F8+F10</f>
        <v>0</v>
      </c>
      <c r="G7" s="702">
        <f t="shared" si="0"/>
        <v>2547310</v>
      </c>
      <c r="H7" s="701">
        <f>+G7/(C7*1000)</f>
        <v>5.09</v>
      </c>
    </row>
    <row r="8" spans="1:8" ht="15" customHeight="1">
      <c r="A8" s="715"/>
      <c r="B8" s="1429" t="s">
        <v>538</v>
      </c>
      <c r="C8" s="1430">
        <f>SUM(C9:C9)</f>
        <v>500</v>
      </c>
      <c r="D8" s="1430">
        <f>SUM(D9:D9)</f>
        <v>2547310</v>
      </c>
      <c r="E8" s="1430">
        <f>SUM(E9:E9)</f>
        <v>0</v>
      </c>
      <c r="F8" s="1430">
        <f>SUM(F9:F9)</f>
        <v>0</v>
      </c>
      <c r="G8" s="1431">
        <f t="shared" si="0"/>
        <v>2547310</v>
      </c>
      <c r="H8" s="1432">
        <f>+G8/(C8*1000)</f>
        <v>5.09</v>
      </c>
    </row>
    <row r="9" spans="1:8" ht="15" customHeight="1">
      <c r="A9" s="715"/>
      <c r="B9" s="716" t="s">
        <v>557</v>
      </c>
      <c r="C9" s="696">
        <v>500</v>
      </c>
      <c r="D9" s="696">
        <v>2547310</v>
      </c>
      <c r="E9" s="696"/>
      <c r="F9" s="696"/>
      <c r="G9" s="703">
        <f t="shared" si="0"/>
        <v>2547310</v>
      </c>
      <c r="H9" s="698">
        <f>+G9/(C9*1000)</f>
        <v>5.09</v>
      </c>
    </row>
    <row r="10" spans="1:8" ht="15.75">
      <c r="A10" s="715"/>
      <c r="B10" s="1429" t="s">
        <v>540</v>
      </c>
      <c r="C10" s="696"/>
      <c r="D10" s="696"/>
      <c r="E10" s="696"/>
      <c r="F10" s="696"/>
      <c r="G10" s="717">
        <f t="shared" si="0"/>
        <v>0</v>
      </c>
      <c r="H10" s="699"/>
    </row>
    <row r="11" spans="1:8" ht="15.75">
      <c r="A11" s="714" t="s">
        <v>541</v>
      </c>
      <c r="B11" s="691" t="s">
        <v>542</v>
      </c>
      <c r="C11" s="700"/>
      <c r="D11" s="700"/>
      <c r="E11" s="700"/>
      <c r="F11" s="700"/>
      <c r="G11" s="700">
        <f t="shared" si="0"/>
        <v>0</v>
      </c>
      <c r="H11" s="1434"/>
    </row>
    <row r="12" spans="1:8" ht="15.75">
      <c r="A12" s="714" t="s">
        <v>543</v>
      </c>
      <c r="B12" s="691" t="s">
        <v>546</v>
      </c>
      <c r="C12" s="700"/>
      <c r="D12" s="700"/>
      <c r="E12" s="700"/>
      <c r="F12" s="700"/>
      <c r="G12" s="700">
        <f t="shared" si="0"/>
        <v>0</v>
      </c>
      <c r="H12" s="1434"/>
    </row>
    <row r="13" spans="1:8" ht="16.5" thickBot="1">
      <c r="A13" s="718" t="s">
        <v>544</v>
      </c>
      <c r="B13" s="692" t="s">
        <v>545</v>
      </c>
      <c r="C13" s="704">
        <f>(C3+C4+C5+C7)*27%</f>
        <v>135</v>
      </c>
      <c r="D13" s="704">
        <f>((D3+D4+D5+D7)*27%)-1</f>
        <v>723324</v>
      </c>
      <c r="E13" s="704">
        <f>(E3+E4+E5+E7)*27%</f>
        <v>0</v>
      </c>
      <c r="F13" s="704">
        <f>(F3+F4+F5+F7)*27%</f>
        <v>0</v>
      </c>
      <c r="G13" s="704">
        <f t="shared" si="0"/>
        <v>723324</v>
      </c>
      <c r="H13" s="705">
        <f>+G13/(C13*1000)</f>
        <v>5.36</v>
      </c>
    </row>
    <row r="14" spans="1:8" s="1343" customFormat="1" ht="35.25" customHeight="1" thickBot="1">
      <c r="A14" s="719"/>
      <c r="B14" s="693" t="s">
        <v>547</v>
      </c>
      <c r="C14" s="693">
        <f>C3+C4+C5+C7+C11+C12+C13</f>
        <v>635</v>
      </c>
      <c r="D14" s="693">
        <f>D3+D4+D5+D7+D11+D12+D13</f>
        <v>3402304</v>
      </c>
      <c r="E14" s="693">
        <f>E3+E4+E5+E7+E11+E12+E13</f>
        <v>0</v>
      </c>
      <c r="F14" s="693">
        <f>F3+F4+F5+F7+F11+F12+F13</f>
        <v>0</v>
      </c>
      <c r="G14" s="693">
        <f t="shared" si="0"/>
        <v>3402304</v>
      </c>
      <c r="H14" s="706">
        <f>+G14/(C14*1000)</f>
        <v>5.36</v>
      </c>
    </row>
  </sheetData>
  <sheetProtection/>
  <mergeCells count="5">
    <mergeCell ref="A1:A2"/>
    <mergeCell ref="H1:H2"/>
    <mergeCell ref="C1:C2"/>
    <mergeCell ref="B1:B2"/>
    <mergeCell ref="D1:G1"/>
  </mergeCells>
  <printOptions horizontalCentered="1"/>
  <pageMargins left="0.5905511811023623" right="0.5905511811023623" top="0.984251968503937" bottom="1.1811023622047245" header="0.3937007874015748" footer="0.3937007874015748"/>
  <pageSetup fitToHeight="1" fitToWidth="1" orientation="landscape" paperSize="9" scale="72" r:id="rId1"/>
  <headerFooter alignWithMargins="0">
    <oddHeader>&amp;C&amp;"Times New Roman,Normál"CSILI MŰVELŐDÉSI KÖZPONT 
2017. ÉVI BERUHÁZÁSI KIADÁSAI 
&amp;R&amp;"Times New Roman,Normál"4.6. sz. melléklet&amp;"MS Sans Serif,Normál"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M27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2.57421875" style="0" bestFit="1" customWidth="1"/>
    <col min="2" max="2" width="10.8515625" style="0" bestFit="1" customWidth="1"/>
    <col min="3" max="3" width="12.140625" style="98" bestFit="1" customWidth="1"/>
    <col min="4" max="4" width="12.28125" style="0" bestFit="1" customWidth="1"/>
    <col min="5" max="5" width="14.00390625" style="0" customWidth="1"/>
    <col min="6" max="6" width="12.00390625" style="0" customWidth="1"/>
    <col min="8" max="8" width="9.8515625" style="0" bestFit="1" customWidth="1"/>
  </cols>
  <sheetData>
    <row r="1" spans="1:8" ht="38.25">
      <c r="A1" s="105" t="s">
        <v>717</v>
      </c>
      <c r="B1" s="167" t="s">
        <v>719</v>
      </c>
      <c r="C1" s="167" t="s">
        <v>747</v>
      </c>
      <c r="D1" s="106"/>
      <c r="E1" s="105" t="s">
        <v>519</v>
      </c>
      <c r="F1" s="190" t="s">
        <v>720</v>
      </c>
      <c r="H1" s="104"/>
    </row>
    <row r="2" spans="1:13" ht="12.75">
      <c r="A2" s="5">
        <v>1</v>
      </c>
      <c r="B2" s="166">
        <f>SUMIF(füzet!$E$3:$E$5233,$A2,füzet!$G$3:$G$5233)+SUMIF(füzet!$E$3:$E$5233,$A2,füzet!$H$3:$H$5232)</f>
        <v>0</v>
      </c>
      <c r="C2" s="98">
        <f>SUMIF(füzet!$E$3:$E$5233,$A2,füzet!$I$3:$I$5233)</f>
        <v>0</v>
      </c>
      <c r="E2" s="98" t="e">
        <f>#REF!</f>
        <v>#REF!</v>
      </c>
      <c r="F2" s="191" t="e">
        <f>E2-B2</f>
        <v>#REF!</v>
      </c>
      <c r="H2" s="98"/>
      <c r="L2" s="98"/>
      <c r="M2" s="98"/>
    </row>
    <row r="3" spans="1:8" ht="12.75">
      <c r="A3" s="5">
        <v>4</v>
      </c>
      <c r="B3" s="98">
        <f>SUMIF(füzet!$E$3:$E$5233,$A3,füzet!$G$3:$G$5233)+SUMIF(füzet!$E$3:$E$5233,$A3,füzet!$H$3:$H$5232)</f>
        <v>0</v>
      </c>
      <c r="C3" s="98">
        <f>SUMIF(füzet!$E$3:$E$5233,$A3,füzet!$I$3:$I$5233)</f>
        <v>0</v>
      </c>
      <c r="E3" s="98" t="e">
        <f>#REF!</f>
        <v>#REF!</v>
      </c>
      <c r="F3" s="191" t="e">
        <f aca="true" t="shared" si="0" ref="F3:F8">E3-B3</f>
        <v>#REF!</v>
      </c>
      <c r="H3" s="98"/>
    </row>
    <row r="4" spans="1:8" ht="12.75">
      <c r="A4" s="5">
        <v>5</v>
      </c>
      <c r="B4" s="98">
        <f>SUMIF(füzet!$E$3:$E$5233,$A4,füzet!$G$3:$G$5233)+SUMIF(füzet!$E$3:$E$5233,$A4,füzet!$H$3:$H$5232)</f>
        <v>0</v>
      </c>
      <c r="C4" s="98">
        <f>SUMIF(füzet!$E$3:$E$5233,$A4,füzet!$I$3:$I$5233)</f>
        <v>0</v>
      </c>
      <c r="E4" s="98" t="e">
        <f>#REF!</f>
        <v>#REF!</v>
      </c>
      <c r="F4" s="191" t="e">
        <f t="shared" si="0"/>
        <v>#REF!</v>
      </c>
      <c r="H4" s="98"/>
    </row>
    <row r="5" spans="1:8" ht="12.75">
      <c r="A5" s="5">
        <v>6</v>
      </c>
      <c r="B5" s="98">
        <f>SUMIF(füzet!$E$3:$E$5233,$A5,füzet!$G$3:$G$5233)+SUMIF(füzet!$E$3:$E$5233,$A5,füzet!$H$3:$H$5232)</f>
        <v>0</v>
      </c>
      <c r="C5" s="98">
        <f>SUMIF(füzet!$E$3:$E$5233,$A5,füzet!$I$3:$I$5233)</f>
        <v>0</v>
      </c>
      <c r="E5" s="98" t="e">
        <f>#REF!</f>
        <v>#REF!</v>
      </c>
      <c r="F5" s="191" t="e">
        <f t="shared" si="0"/>
        <v>#REF!</v>
      </c>
      <c r="H5" s="98"/>
    </row>
    <row r="6" spans="1:8" ht="12.75">
      <c r="A6" s="5">
        <v>7</v>
      </c>
      <c r="B6" s="98">
        <f>SUMIF(füzet!$E$3:$E$5233,$A6,füzet!$G$3:$G$5233)+SUMIF(füzet!$E$3:$E$5233,$A6,füzet!$H$3:$H$5232)</f>
        <v>0</v>
      </c>
      <c r="C6" s="98">
        <f>SUMIF(füzet!$E$3:$E$5233,$A6,füzet!$I$3:$I$5233)</f>
        <v>0</v>
      </c>
      <c r="E6" s="98" t="e">
        <f>'2.8.Felúj.'!#REF!</f>
        <v>#REF!</v>
      </c>
      <c r="F6" s="191" t="e">
        <f t="shared" si="0"/>
        <v>#REF!</v>
      </c>
      <c r="H6" s="98"/>
    </row>
    <row r="7" spans="1:8" ht="12.75">
      <c r="A7" s="5">
        <v>8</v>
      </c>
      <c r="B7" s="98">
        <f>SUMIF(füzet!$E$3:$E$5233,$A7,füzet!$G$3:$G$5233)+SUMIF(füzet!$E$3:$E$5233,$A7,füzet!$H$3:$H$5232)</f>
        <v>0</v>
      </c>
      <c r="C7" s="98">
        <f>SUMIF(füzet!$E$3:$E$5233,$A7,füzet!$I$3:$I$5233)</f>
        <v>0</v>
      </c>
      <c r="E7" s="98" t="e">
        <f>'2.5.Céltart'!#REF!</f>
        <v>#REF!</v>
      </c>
      <c r="F7" s="191" t="e">
        <f t="shared" si="0"/>
        <v>#REF!</v>
      </c>
      <c r="H7" s="98"/>
    </row>
    <row r="8" spans="1:8" ht="12.75">
      <c r="A8" s="5" t="s">
        <v>433</v>
      </c>
      <c r="B8" s="98">
        <f>SUMIF(füzet!$E$3:$E$5233,$A8,füzet!$G$3:$G$5233)+SUMIF(füzet!$E$3:$E$5233,$A8,füzet!$H$3:$H$5232)</f>
        <v>0</v>
      </c>
      <c r="C8" s="98">
        <f>SUMIF(füzet!$E$3:$E$5233,$A8,füzet!$I$3:$I$5233)</f>
        <v>0</v>
      </c>
      <c r="E8" s="98" t="e">
        <f>#REF!</f>
        <v>#REF!</v>
      </c>
      <c r="F8" s="191" t="e">
        <f t="shared" si="0"/>
        <v>#REF!</v>
      </c>
      <c r="H8" s="98"/>
    </row>
    <row r="9" spans="1:8" ht="12.75">
      <c r="A9" s="5" t="s">
        <v>721</v>
      </c>
      <c r="B9" s="98">
        <f>SUMIF(füzet!$E$3:$E$5233,$A9,füzet!$G$3:$G$5233)+SUMIF(füzet!$E$3:$E$5233,$A9,füzet!$H$3:$H$5232)</f>
        <v>0</v>
      </c>
      <c r="C9" s="98">
        <f>SUMIF(füzet!$E$3:$E$5233,$A9,füzet!$I$3:$I$5233)</f>
        <v>0</v>
      </c>
      <c r="E9" s="98" t="e">
        <f>#REF!</f>
        <v>#REF!</v>
      </c>
      <c r="F9" s="191"/>
      <c r="H9" s="98"/>
    </row>
    <row r="10" spans="1:8" ht="12.75">
      <c r="A10" s="5" t="s">
        <v>432</v>
      </c>
      <c r="B10" s="98">
        <f>SUMIF(füzet!$E$3:$E$5233,$A10,füzet!$G$3:$G$5233)+SUMIF(füzet!$E$3:$E$5233,$A10,füzet!$H$3:$H$5232)</f>
        <v>0</v>
      </c>
      <c r="C10" s="98">
        <f>SUMIF(füzet!$E$3:$E$5233,$A10,füzet!$I$3:$I$5233)</f>
        <v>0</v>
      </c>
      <c r="E10" s="98" t="e">
        <f>#REF!</f>
        <v>#REF!</v>
      </c>
      <c r="F10" s="191" t="e">
        <f>E10-C10</f>
        <v>#REF!</v>
      </c>
      <c r="H10" s="98"/>
    </row>
    <row r="11" spans="1:6" ht="12.75">
      <c r="A11" s="5" t="s">
        <v>352</v>
      </c>
      <c r="B11" s="98">
        <f>SUMIF(füzet!$E$3:$E$5233,$A11,füzet!$G$3:$G$5233)+SUMIF(füzet!$E$3:$E$5233,$A11,füzet!$H$3:$H$5232)</f>
        <v>0</v>
      </c>
      <c r="C11" s="98">
        <f>SUMIF(füzet!$E$3:$E$5233,$A11,füzet!$I$3:$I$5233)</f>
        <v>0</v>
      </c>
      <c r="E11" s="98" t="e">
        <f>#REF!</f>
        <v>#REF!</v>
      </c>
      <c r="F11" s="191" t="e">
        <f>E11-C11</f>
        <v>#REF!</v>
      </c>
    </row>
    <row r="12" spans="1:6" ht="12.75">
      <c r="A12" s="5" t="s">
        <v>722</v>
      </c>
      <c r="B12" s="98">
        <f>SUMIF(füzet!$E$3:$E$5233,$A12,füzet!$G$3:$G$5233)+SUMIF(füzet!$E$3:$E$5233,$A12,füzet!$H$3:$H$5232)</f>
        <v>0</v>
      </c>
      <c r="C12" s="98">
        <f>SUMIF(füzet!$E$3:$E$5233,$A12,füzet!$I$3:$I$5233)</f>
        <v>0</v>
      </c>
      <c r="F12" s="191"/>
    </row>
    <row r="13" spans="1:8" ht="12.75">
      <c r="A13" s="5" t="s">
        <v>434</v>
      </c>
      <c r="B13" s="98">
        <f>SUMIF(füzet!$E$3:$E$5233,$A13,füzet!$G$3:$G$5233)+SUMIF(füzet!$E$3:$E$5233,$A13,füzet!$H$3:$H$5232)</f>
        <v>0</v>
      </c>
      <c r="C13" s="98">
        <f>SUMIF(füzet!$E$3:$E$5233,$A13,füzet!$I$3:$I$5233)</f>
        <v>0</v>
      </c>
      <c r="E13" s="98" t="e">
        <f>#REF!</f>
        <v>#REF!</v>
      </c>
      <c r="F13" s="191" t="e">
        <f>E13-B13</f>
        <v>#REF!</v>
      </c>
      <c r="H13" s="98"/>
    </row>
    <row r="14" spans="1:6" ht="12.75">
      <c r="A14" s="5"/>
      <c r="B14" s="107"/>
      <c r="C14" s="98">
        <f>SUM(C2:C12)</f>
        <v>0</v>
      </c>
      <c r="F14" s="191">
        <f>SUMIF(F2:F13,"&gt;0")+ABS(SUMIF(F2:F13,"&lt;0"))</f>
        <v>0</v>
      </c>
    </row>
    <row r="15" ht="12.75">
      <c r="I15" s="189"/>
    </row>
    <row r="16" spans="1:5" ht="12.75">
      <c r="A16" s="1748" t="s">
        <v>517</v>
      </c>
      <c r="B16" s="1748"/>
      <c r="D16" s="1748" t="s">
        <v>518</v>
      </c>
      <c r="E16" s="1748"/>
    </row>
    <row r="17" spans="1:7" ht="12.75">
      <c r="A17" s="104" t="s">
        <v>9</v>
      </c>
      <c r="B17" s="107">
        <f>B2</f>
        <v>0</v>
      </c>
      <c r="D17" s="104" t="s">
        <v>9</v>
      </c>
      <c r="E17" s="107" t="e">
        <f>E2</f>
        <v>#REF!</v>
      </c>
      <c r="G17" s="187" t="e">
        <f>IF(SUM(A27:K27)+ABS(B19)+ABS(E19)+B22+F14+ABS(B17-E17)+E22=0,"Minden rendben","HIBA!!!")</f>
        <v>#REF!</v>
      </c>
    </row>
    <row r="18" spans="1:5" ht="12.75">
      <c r="A18" s="104" t="s">
        <v>10</v>
      </c>
      <c r="B18" s="107">
        <f>SUM(B3:B8,B13)</f>
        <v>0</v>
      </c>
      <c r="D18" s="104" t="s">
        <v>10</v>
      </c>
      <c r="E18" s="107" t="e">
        <f>SUM(E3:E8,E13)</f>
        <v>#REF!</v>
      </c>
    </row>
    <row r="19" spans="1:5" ht="12.75">
      <c r="A19" s="192" t="s">
        <v>516</v>
      </c>
      <c r="B19" s="191">
        <f>B17-B18</f>
        <v>0</v>
      </c>
      <c r="D19" s="192" t="s">
        <v>516</v>
      </c>
      <c r="E19" s="191" t="e">
        <f>E17-E18</f>
        <v>#REF!</v>
      </c>
    </row>
    <row r="20" ht="12.75">
      <c r="I20" t="s">
        <v>711</v>
      </c>
    </row>
    <row r="22" spans="1:5" ht="12.75">
      <c r="A22" s="192" t="s">
        <v>677</v>
      </c>
      <c r="B22" s="193" t="e">
        <f>COUNTIF(#REF!,"&lt;0")+COUNTIF(#REF!,"&lt;0")+COUNTIF(#REF!,"&lt;0")+COUNTIF(#REF!,"&lt;0")+COUNTIF(#REF!,"&lt;0")+COUNTIF(#REF!,"&lt;0")+COUNTIF(#REF!,"&lt;0")+COUNTIF(#REF!,"&lt;0")+COUNTIF(#REF!,"&lt;0")+COUNTIF('2.8.Felúj.'!#REF!,"&lt;0")+COUNTIF('2.5.Céltart'!#REF!,"&lt;0")</f>
        <v>#REF!</v>
      </c>
      <c r="D22" s="192" t="s">
        <v>355</v>
      </c>
      <c r="E22" s="191" t="e">
        <f>ABS(#REF!-#REF!)</f>
        <v>#REF!</v>
      </c>
    </row>
    <row r="23" spans="1:2" ht="12.75">
      <c r="A23" s="186"/>
      <c r="B23" s="107"/>
    </row>
    <row r="24" spans="1:11" ht="12.75">
      <c r="A24" s="1750" t="s">
        <v>208</v>
      </c>
      <c r="B24" s="1750"/>
      <c r="C24" s="1750"/>
      <c r="D24" s="1750"/>
      <c r="E24" s="1750"/>
      <c r="F24" s="1750"/>
      <c r="G24" s="1750"/>
      <c r="H24" s="1750"/>
      <c r="I24" s="1750"/>
      <c r="J24" s="1750"/>
      <c r="K24" s="1750"/>
    </row>
    <row r="25" spans="1:11" ht="12.75">
      <c r="A25" s="1749" t="str">
        <f>IF(SUM(A27:K27)=0,"Rendben","HIBA!!!")</f>
        <v>HIBA!!!</v>
      </c>
      <c r="B25" s="1749"/>
      <c r="C25" s="1749"/>
      <c r="D25" s="1749"/>
      <c r="E25" s="1749"/>
      <c r="F25" s="1749"/>
      <c r="G25" s="1749"/>
      <c r="H25" s="1749"/>
      <c r="I25" s="1749"/>
      <c r="J25" s="1749"/>
      <c r="K25" s="1749"/>
    </row>
    <row r="26" spans="1:11" s="185" customFormat="1" ht="12.75">
      <c r="A26" s="194">
        <v>1</v>
      </c>
      <c r="B26" s="195">
        <v>4</v>
      </c>
      <c r="C26" s="195">
        <v>5</v>
      </c>
      <c r="D26" s="194">
        <v>6</v>
      </c>
      <c r="E26" s="194">
        <v>7</v>
      </c>
      <c r="F26" s="194">
        <v>8</v>
      </c>
      <c r="G26" s="194" t="s">
        <v>767</v>
      </c>
      <c r="H26" s="194" t="s">
        <v>768</v>
      </c>
      <c r="I26" s="194" t="s">
        <v>686</v>
      </c>
      <c r="J26" s="194" t="s">
        <v>687</v>
      </c>
      <c r="K26" s="194" t="s">
        <v>688</v>
      </c>
    </row>
    <row r="27" spans="1:13" s="104" customFormat="1" ht="12.75">
      <c r="A27" s="193">
        <f>COUNTIF(A28:A270,"&lt;&gt;0")</f>
        <v>243</v>
      </c>
      <c r="B27" s="193">
        <f aca="true" t="shared" si="1" ref="B27:K27">COUNTIF(B28:B270,"&lt;&gt;0")</f>
        <v>243</v>
      </c>
      <c r="C27" s="193">
        <f t="shared" si="1"/>
        <v>243</v>
      </c>
      <c r="D27" s="193">
        <f t="shared" si="1"/>
        <v>243</v>
      </c>
      <c r="E27" s="193">
        <f t="shared" si="1"/>
        <v>243</v>
      </c>
      <c r="F27" s="193">
        <f t="shared" si="1"/>
        <v>243</v>
      </c>
      <c r="G27" s="193">
        <f t="shared" si="1"/>
        <v>243</v>
      </c>
      <c r="H27" s="193">
        <f t="shared" si="1"/>
        <v>243</v>
      </c>
      <c r="I27" s="193">
        <f t="shared" si="1"/>
        <v>243</v>
      </c>
      <c r="J27" s="193">
        <f t="shared" si="1"/>
        <v>243</v>
      </c>
      <c r="K27" s="193">
        <f t="shared" si="1"/>
        <v>243</v>
      </c>
      <c r="L27" s="107"/>
      <c r="M27" s="107"/>
    </row>
    <row r="28" spans="1:11" ht="12.75">
      <c r="A28" s="98" t="e">
        <f>#REF!+#REF!-#REF!</f>
        <v>#REF!</v>
      </c>
      <c r="B28" s="98" t="e">
        <f>#REF!+#REF!-#REF!</f>
        <v>#REF!</v>
      </c>
      <c r="C28" s="98" t="e">
        <f>#REF!+#REF!-#REF!</f>
        <v>#REF!</v>
      </c>
      <c r="D28" s="98" t="e">
        <f>#REF!+#REF!-#REF!</f>
        <v>#REF!</v>
      </c>
      <c r="E28" s="98" t="e">
        <f>'2.8.Felúj.'!#REF!+'2.8.Felúj.'!#REF!-'2.8.Felúj.'!#REF!</f>
        <v>#REF!</v>
      </c>
      <c r="F28" s="98" t="e">
        <f>'2.5.Céltart'!#REF!+'2.5.Céltart'!#REF!-'2.5.Céltart'!#REF!</f>
        <v>#REF!</v>
      </c>
      <c r="G28" s="98" t="e">
        <f>#REF!+#REF!-#REF!</f>
        <v>#REF!</v>
      </c>
      <c r="H28" s="98" t="e">
        <f>#REF!+#REF!-#REF!</f>
        <v>#REF!</v>
      </c>
      <c r="I28" s="98" t="e">
        <f>#REF!+#REF!-#REF!</f>
        <v>#REF!</v>
      </c>
      <c r="J28" t="e">
        <f>#REF!+#REF!-#REF!</f>
        <v>#REF!</v>
      </c>
      <c r="K28" s="98" t="e">
        <f>#REF!+#REF!-#REF!</f>
        <v>#REF!</v>
      </c>
    </row>
    <row r="29" spans="1:11" ht="12.75">
      <c r="A29" s="98" t="e">
        <f>#REF!+#REF!-#REF!</f>
        <v>#REF!</v>
      </c>
      <c r="B29" s="98" t="e">
        <f>#REF!+#REF!-#REF!</f>
        <v>#REF!</v>
      </c>
      <c r="C29" s="98" t="e">
        <f>#REF!+#REF!-#REF!</f>
        <v>#REF!</v>
      </c>
      <c r="D29" s="98" t="e">
        <f>#REF!+#REF!-#REF!</f>
        <v>#REF!</v>
      </c>
      <c r="E29" s="98" t="e">
        <f>'2.8.Felúj.'!#REF!+'2.8.Felúj.'!#REF!-'2.8.Felúj.'!#REF!</f>
        <v>#REF!</v>
      </c>
      <c r="F29" s="98" t="e">
        <f>'2.5.Céltart'!#REF!+'2.5.Céltart'!#REF!-'2.5.Céltart'!#REF!</f>
        <v>#REF!</v>
      </c>
      <c r="G29" s="98" t="e">
        <f>#REF!+#REF!-#REF!</f>
        <v>#REF!</v>
      </c>
      <c r="H29" s="98" t="e">
        <f>#REF!+#REF!-#REF!</f>
        <v>#REF!</v>
      </c>
      <c r="I29" s="98" t="e">
        <f>#REF!+#REF!-#REF!</f>
        <v>#REF!</v>
      </c>
      <c r="J29" t="e">
        <f>#REF!+#REF!-#REF!</f>
        <v>#REF!</v>
      </c>
      <c r="K29" s="98" t="e">
        <f>#REF!+#REF!-#REF!</f>
        <v>#REF!</v>
      </c>
    </row>
    <row r="30" spans="1:11" ht="12.75">
      <c r="A30" s="98" t="e">
        <f>#REF!+#REF!-#REF!</f>
        <v>#REF!</v>
      </c>
      <c r="B30" s="98" t="e">
        <f>#REF!+#REF!-#REF!</f>
        <v>#REF!</v>
      </c>
      <c r="C30" s="98" t="e">
        <f>#REF!+#REF!-#REF!</f>
        <v>#REF!</v>
      </c>
      <c r="D30" s="98" t="e">
        <f>#REF!+#REF!-#REF!</f>
        <v>#REF!</v>
      </c>
      <c r="E30" s="98" t="e">
        <f>'2.8.Felúj.'!#REF!+'2.8.Felúj.'!#REF!-'2.8.Felúj.'!#REF!</f>
        <v>#REF!</v>
      </c>
      <c r="F30" s="98" t="e">
        <f>'2.5.Céltart'!#REF!+'2.5.Céltart'!#REF!-'2.5.Céltart'!#REF!</f>
        <v>#REF!</v>
      </c>
      <c r="G30" s="98" t="e">
        <f>#REF!+#REF!-#REF!</f>
        <v>#REF!</v>
      </c>
      <c r="H30" s="98" t="e">
        <f>#REF!+#REF!-#REF!</f>
        <v>#REF!</v>
      </c>
      <c r="I30" s="98" t="e">
        <f>#REF!+#REF!-#REF!</f>
        <v>#REF!</v>
      </c>
      <c r="J30" t="e">
        <f>#REF!+#REF!-#REF!</f>
        <v>#REF!</v>
      </c>
      <c r="K30" s="98" t="e">
        <f>#REF!+#REF!-#REF!</f>
        <v>#REF!</v>
      </c>
    </row>
    <row r="31" spans="1:11" ht="12.75">
      <c r="A31" s="98" t="e">
        <f>#REF!+#REF!-#REF!</f>
        <v>#REF!</v>
      </c>
      <c r="B31" s="98" t="e">
        <f>#REF!+#REF!-#REF!</f>
        <v>#REF!</v>
      </c>
      <c r="C31" s="98" t="e">
        <f>#REF!+#REF!-#REF!</f>
        <v>#REF!</v>
      </c>
      <c r="D31" s="98" t="e">
        <f>#REF!+#REF!-#REF!</f>
        <v>#REF!</v>
      </c>
      <c r="E31" s="98" t="e">
        <f>'2.8.Felúj.'!#REF!+'2.8.Felúj.'!#REF!-'2.8.Felúj.'!#REF!</f>
        <v>#REF!</v>
      </c>
      <c r="F31" s="98" t="e">
        <f>'2.5.Céltart'!#REF!+'2.5.Céltart'!#REF!-'2.5.Céltart'!#REF!</f>
        <v>#REF!</v>
      </c>
      <c r="G31" s="98" t="e">
        <f>#REF!+#REF!-#REF!</f>
        <v>#REF!</v>
      </c>
      <c r="H31" s="98" t="e">
        <f>#REF!+#REF!-#REF!</f>
        <v>#REF!</v>
      </c>
      <c r="I31" s="98" t="e">
        <f>#REF!+#REF!-#REF!</f>
        <v>#REF!</v>
      </c>
      <c r="J31" t="e">
        <f>#REF!+#REF!-#REF!</f>
        <v>#REF!</v>
      </c>
      <c r="K31" s="98" t="e">
        <f>#REF!+#REF!-#REF!</f>
        <v>#REF!</v>
      </c>
    </row>
    <row r="32" spans="1:11" ht="12.75">
      <c r="A32" s="98" t="e">
        <f>#REF!+#REF!-#REF!</f>
        <v>#REF!</v>
      </c>
      <c r="B32" s="98" t="e">
        <f>#REF!+#REF!-#REF!</f>
        <v>#REF!</v>
      </c>
      <c r="C32" s="98" t="e">
        <f>#REF!+#REF!-#REF!</f>
        <v>#REF!</v>
      </c>
      <c r="D32" s="98" t="e">
        <f>#REF!+#REF!-#REF!</f>
        <v>#REF!</v>
      </c>
      <c r="E32" s="98" t="e">
        <f>'2.8.Felúj.'!#REF!+'2.8.Felúj.'!#REF!-'2.8.Felúj.'!#REF!</f>
        <v>#REF!</v>
      </c>
      <c r="F32" s="98" t="e">
        <f>'2.5.Céltart'!#REF!+'2.5.Céltart'!#REF!-'2.5.Céltart'!#REF!</f>
        <v>#REF!</v>
      </c>
      <c r="G32" s="98" t="e">
        <f>#REF!+#REF!-#REF!</f>
        <v>#REF!</v>
      </c>
      <c r="H32" s="98" t="e">
        <f>#REF!+#REF!-#REF!</f>
        <v>#REF!</v>
      </c>
      <c r="I32" s="98" t="e">
        <f>#REF!+#REF!-#REF!</f>
        <v>#REF!</v>
      </c>
      <c r="J32" t="e">
        <f>#REF!+#REF!-#REF!</f>
        <v>#REF!</v>
      </c>
      <c r="K32" s="98" t="e">
        <f>#REF!+#REF!-#REF!</f>
        <v>#REF!</v>
      </c>
    </row>
    <row r="33" spans="1:11" ht="12.75">
      <c r="A33" s="98" t="e">
        <f>#REF!+#REF!-#REF!</f>
        <v>#REF!</v>
      </c>
      <c r="B33" s="98" t="e">
        <f>#REF!+#REF!-#REF!</f>
        <v>#REF!</v>
      </c>
      <c r="C33" s="98" t="e">
        <f>#REF!+#REF!-#REF!</f>
        <v>#REF!</v>
      </c>
      <c r="D33" s="98" t="e">
        <f>#REF!+#REF!-#REF!</f>
        <v>#REF!</v>
      </c>
      <c r="E33" s="98" t="e">
        <f>'2.8.Felúj.'!#REF!+'2.8.Felúj.'!#REF!-'2.8.Felúj.'!#REF!</f>
        <v>#REF!</v>
      </c>
      <c r="F33" s="98" t="e">
        <f>'2.5.Céltart'!#REF!+'2.5.Céltart'!#REF!-'2.5.Céltart'!#REF!</f>
        <v>#REF!</v>
      </c>
      <c r="G33" s="98" t="e">
        <f>#REF!+#REF!-#REF!</f>
        <v>#REF!</v>
      </c>
      <c r="H33" s="98" t="e">
        <f>#REF!+#REF!-#REF!</f>
        <v>#REF!</v>
      </c>
      <c r="I33" s="98" t="e">
        <f>#REF!+#REF!-#REF!</f>
        <v>#REF!</v>
      </c>
      <c r="J33" t="e">
        <f>#REF!+#REF!-#REF!</f>
        <v>#REF!</v>
      </c>
      <c r="K33" s="98" t="e">
        <f>#REF!+#REF!-#REF!</f>
        <v>#REF!</v>
      </c>
    </row>
    <row r="34" spans="1:11" ht="12.75">
      <c r="A34" s="98" t="e">
        <f>#REF!+#REF!-#REF!</f>
        <v>#REF!</v>
      </c>
      <c r="B34" s="98" t="e">
        <f>#REF!+#REF!-#REF!</f>
        <v>#REF!</v>
      </c>
      <c r="C34" s="98" t="e">
        <f>#REF!+#REF!-#REF!</f>
        <v>#REF!</v>
      </c>
      <c r="D34" s="98" t="e">
        <f>#REF!+#REF!-#REF!</f>
        <v>#REF!</v>
      </c>
      <c r="E34" s="98" t="e">
        <f>'2.8.Felúj.'!#REF!+'2.8.Felúj.'!#REF!-'2.8.Felúj.'!#REF!</f>
        <v>#REF!</v>
      </c>
      <c r="F34" s="98" t="e">
        <f>'2.5.Céltart'!#REF!+'2.5.Céltart'!#REF!-'2.5.Céltart'!#REF!</f>
        <v>#REF!</v>
      </c>
      <c r="G34" s="98" t="e">
        <f>#REF!+#REF!-#REF!</f>
        <v>#REF!</v>
      </c>
      <c r="H34" s="98" t="e">
        <f>#REF!+#REF!-#REF!</f>
        <v>#REF!</v>
      </c>
      <c r="I34" s="98" t="e">
        <f>#REF!+#REF!-#REF!</f>
        <v>#REF!</v>
      </c>
      <c r="J34" t="e">
        <f>#REF!+#REF!-#REF!</f>
        <v>#REF!</v>
      </c>
      <c r="K34" s="98" t="e">
        <f>#REF!+#REF!-#REF!</f>
        <v>#REF!</v>
      </c>
    </row>
    <row r="35" spans="1:11" ht="12.75">
      <c r="A35" s="98" t="e">
        <f>#REF!+#REF!-#REF!</f>
        <v>#REF!</v>
      </c>
      <c r="B35" s="98" t="e">
        <f>#REF!+#REF!-#REF!</f>
        <v>#REF!</v>
      </c>
      <c r="C35" s="98" t="e">
        <f>#REF!+#REF!-#REF!</f>
        <v>#REF!</v>
      </c>
      <c r="D35" s="98" t="e">
        <f>#REF!+#REF!-#REF!</f>
        <v>#REF!</v>
      </c>
      <c r="E35" s="98" t="e">
        <f>'2.8.Felúj.'!#REF!+'2.8.Felúj.'!#REF!-'2.8.Felúj.'!#REF!</f>
        <v>#REF!</v>
      </c>
      <c r="F35" s="98" t="e">
        <f>'2.5.Céltart'!#REF!+'2.5.Céltart'!#REF!-'2.5.Céltart'!#REF!</f>
        <v>#REF!</v>
      </c>
      <c r="G35" s="98" t="e">
        <f>#REF!+#REF!-#REF!</f>
        <v>#REF!</v>
      </c>
      <c r="H35" s="98" t="e">
        <f>#REF!+#REF!-#REF!</f>
        <v>#REF!</v>
      </c>
      <c r="I35" s="98" t="e">
        <f>#REF!+#REF!-#REF!</f>
        <v>#REF!</v>
      </c>
      <c r="J35" t="e">
        <f>#REF!+#REF!-#REF!</f>
        <v>#REF!</v>
      </c>
      <c r="K35" s="98" t="e">
        <f>#REF!+#REF!-#REF!</f>
        <v>#REF!</v>
      </c>
    </row>
    <row r="36" spans="1:11" ht="12.75">
      <c r="A36" s="98" t="e">
        <f>#REF!+#REF!-#REF!</f>
        <v>#REF!</v>
      </c>
      <c r="B36" s="98" t="e">
        <f>#REF!+#REF!-#REF!</f>
        <v>#REF!</v>
      </c>
      <c r="C36" s="98" t="e">
        <f>#REF!+#REF!-#REF!</f>
        <v>#REF!</v>
      </c>
      <c r="D36" s="98" t="e">
        <f>#REF!+#REF!-#REF!</f>
        <v>#REF!</v>
      </c>
      <c r="E36" s="98" t="e">
        <f>'2.8.Felúj.'!#REF!+'2.8.Felúj.'!#REF!-'2.8.Felúj.'!#REF!</f>
        <v>#REF!</v>
      </c>
      <c r="F36" s="98" t="e">
        <f>'2.5.Céltart'!#REF!+'2.5.Céltart'!#REF!-'2.5.Céltart'!#REF!</f>
        <v>#REF!</v>
      </c>
      <c r="G36" s="98" t="e">
        <f>#REF!+#REF!-#REF!</f>
        <v>#REF!</v>
      </c>
      <c r="H36" s="98" t="e">
        <f>#REF!+#REF!-#REF!</f>
        <v>#REF!</v>
      </c>
      <c r="I36" s="98" t="e">
        <f>#REF!+#REF!-#REF!</f>
        <v>#REF!</v>
      </c>
      <c r="J36" t="e">
        <f>#REF!+#REF!-#REF!</f>
        <v>#REF!</v>
      </c>
      <c r="K36" s="98" t="e">
        <f>#REF!+#REF!-#REF!</f>
        <v>#REF!</v>
      </c>
    </row>
    <row r="37" spans="1:11" ht="12.75">
      <c r="A37" s="98" t="e">
        <f>#REF!+#REF!-#REF!</f>
        <v>#REF!</v>
      </c>
      <c r="B37" s="98" t="e">
        <f>#REF!+#REF!-#REF!</f>
        <v>#REF!</v>
      </c>
      <c r="C37" s="98" t="e">
        <f>#REF!+#REF!-#REF!</f>
        <v>#REF!</v>
      </c>
      <c r="D37" s="98" t="e">
        <f>#REF!+#REF!-#REF!</f>
        <v>#REF!</v>
      </c>
      <c r="E37" s="98" t="e">
        <f>'2.8.Felúj.'!#REF!+'2.8.Felúj.'!#REF!-'2.8.Felúj.'!#REF!</f>
        <v>#REF!</v>
      </c>
      <c r="F37" s="98" t="e">
        <f>'2.5.Céltart'!#REF!+'2.5.Céltart'!#REF!-'2.5.Céltart'!#REF!</f>
        <v>#REF!</v>
      </c>
      <c r="G37" s="98" t="e">
        <f>#REF!+#REF!-#REF!</f>
        <v>#REF!</v>
      </c>
      <c r="H37" s="98" t="e">
        <f>#REF!+#REF!-#REF!</f>
        <v>#REF!</v>
      </c>
      <c r="I37" s="98" t="e">
        <f>#REF!+#REF!-#REF!</f>
        <v>#REF!</v>
      </c>
      <c r="J37" t="e">
        <f>#REF!+#REF!-#REF!</f>
        <v>#REF!</v>
      </c>
      <c r="K37" s="98" t="e">
        <f>#REF!+#REF!-#REF!</f>
        <v>#REF!</v>
      </c>
    </row>
    <row r="38" spans="1:11" ht="12.75">
      <c r="A38" s="98" t="e">
        <f>#REF!+#REF!-#REF!</f>
        <v>#REF!</v>
      </c>
      <c r="B38" s="98" t="e">
        <f>#REF!+#REF!-#REF!</f>
        <v>#REF!</v>
      </c>
      <c r="C38" s="98" t="e">
        <f>#REF!+#REF!-#REF!</f>
        <v>#REF!</v>
      </c>
      <c r="D38" s="98" t="e">
        <f>#REF!+#REF!-#REF!</f>
        <v>#REF!</v>
      </c>
      <c r="E38" s="98" t="e">
        <f>'2.8.Felúj.'!#REF!+'2.8.Felúj.'!#REF!-'2.8.Felúj.'!#REF!</f>
        <v>#REF!</v>
      </c>
      <c r="F38" s="98" t="e">
        <f>'2.5.Céltart'!#REF!+'2.5.Céltart'!#REF!-'2.5.Céltart'!#REF!</f>
        <v>#REF!</v>
      </c>
      <c r="G38" s="98" t="e">
        <f>#REF!+#REF!-#REF!</f>
        <v>#REF!</v>
      </c>
      <c r="H38" s="98" t="e">
        <f>#REF!+#REF!-#REF!</f>
        <v>#REF!</v>
      </c>
      <c r="I38" s="98" t="e">
        <f>#REF!+#REF!-#REF!</f>
        <v>#REF!</v>
      </c>
      <c r="J38" t="e">
        <f>#REF!+#REF!-#REF!</f>
        <v>#REF!</v>
      </c>
      <c r="K38" s="98" t="e">
        <f>#REF!+#REF!-#REF!</f>
        <v>#REF!</v>
      </c>
    </row>
    <row r="39" spans="1:11" ht="12.75">
      <c r="A39" s="98" t="e">
        <f>#REF!+#REF!-#REF!</f>
        <v>#REF!</v>
      </c>
      <c r="B39" s="98" t="e">
        <f>#REF!+#REF!-#REF!</f>
        <v>#REF!</v>
      </c>
      <c r="C39" s="98" t="e">
        <f>#REF!+#REF!-#REF!</f>
        <v>#REF!</v>
      </c>
      <c r="D39" s="98" t="e">
        <f>#REF!+#REF!-#REF!</f>
        <v>#REF!</v>
      </c>
      <c r="E39" s="98" t="e">
        <f>'2.8.Felúj.'!#REF!+'2.8.Felúj.'!#REF!-'2.8.Felúj.'!#REF!</f>
        <v>#REF!</v>
      </c>
      <c r="F39" s="98" t="e">
        <f>'2.5.Céltart'!#REF!+'2.5.Céltart'!#REF!-'2.5.Céltart'!#REF!</f>
        <v>#REF!</v>
      </c>
      <c r="G39" s="98" t="e">
        <f>#REF!+#REF!-#REF!</f>
        <v>#REF!</v>
      </c>
      <c r="H39" s="98" t="e">
        <f>#REF!+#REF!-#REF!</f>
        <v>#REF!</v>
      </c>
      <c r="I39" s="98" t="e">
        <f>#REF!+#REF!-#REF!</f>
        <v>#REF!</v>
      </c>
      <c r="J39" t="e">
        <f>#REF!+#REF!-#REF!</f>
        <v>#REF!</v>
      </c>
      <c r="K39" s="98" t="e">
        <f>#REF!+#REF!-#REF!</f>
        <v>#REF!</v>
      </c>
    </row>
    <row r="40" spans="1:11" ht="12.75">
      <c r="A40" s="98" t="e">
        <f>#REF!+#REF!-#REF!</f>
        <v>#REF!</v>
      </c>
      <c r="B40" s="98" t="e">
        <f>#REF!+#REF!-#REF!</f>
        <v>#REF!</v>
      </c>
      <c r="C40" s="98" t="e">
        <f>#REF!+#REF!-#REF!</f>
        <v>#REF!</v>
      </c>
      <c r="D40" s="98" t="e">
        <f>#REF!+#REF!-#REF!</f>
        <v>#REF!</v>
      </c>
      <c r="E40" s="98" t="e">
        <f>'2.8.Felúj.'!#REF!+'2.8.Felúj.'!#REF!-'2.8.Felúj.'!#REF!</f>
        <v>#REF!</v>
      </c>
      <c r="F40" s="98" t="e">
        <f>'2.5.Céltart'!#REF!+'2.5.Céltart'!#REF!-'2.5.Céltart'!#REF!</f>
        <v>#REF!</v>
      </c>
      <c r="G40" s="98" t="e">
        <f>#REF!+#REF!-#REF!</f>
        <v>#REF!</v>
      </c>
      <c r="H40" s="98" t="e">
        <f>#REF!+#REF!-#REF!</f>
        <v>#REF!</v>
      </c>
      <c r="I40" s="98" t="e">
        <f>#REF!+#REF!-#REF!</f>
        <v>#REF!</v>
      </c>
      <c r="J40" t="e">
        <f>#REF!+#REF!-#REF!</f>
        <v>#REF!</v>
      </c>
      <c r="K40" s="98" t="e">
        <f>#REF!+#REF!-#REF!</f>
        <v>#REF!</v>
      </c>
    </row>
    <row r="41" spans="1:11" ht="12.75">
      <c r="A41" s="98" t="e">
        <f>#REF!+#REF!-#REF!</f>
        <v>#REF!</v>
      </c>
      <c r="B41" s="98" t="e">
        <f>#REF!+#REF!-#REF!</f>
        <v>#REF!</v>
      </c>
      <c r="C41" s="98" t="e">
        <f>#REF!+#REF!-#REF!</f>
        <v>#REF!</v>
      </c>
      <c r="D41" s="98" t="e">
        <f>#REF!+#REF!-#REF!</f>
        <v>#REF!</v>
      </c>
      <c r="E41" s="98" t="e">
        <f>'2.8.Felúj.'!#REF!+'2.8.Felúj.'!#REF!-'2.8.Felúj.'!#REF!</f>
        <v>#REF!</v>
      </c>
      <c r="F41" s="98" t="e">
        <f>'2.5.Céltart'!#REF!+'2.5.Céltart'!#REF!-'2.5.Céltart'!#REF!</f>
        <v>#REF!</v>
      </c>
      <c r="G41" s="98" t="e">
        <f>#REF!+#REF!-#REF!</f>
        <v>#REF!</v>
      </c>
      <c r="H41" s="98" t="e">
        <f>#REF!+#REF!-#REF!</f>
        <v>#REF!</v>
      </c>
      <c r="I41" s="98" t="e">
        <f>#REF!+#REF!-#REF!</f>
        <v>#REF!</v>
      </c>
      <c r="J41" t="e">
        <f>#REF!+#REF!-#REF!</f>
        <v>#REF!</v>
      </c>
      <c r="K41" s="98" t="e">
        <f>#REF!+#REF!-#REF!</f>
        <v>#REF!</v>
      </c>
    </row>
    <row r="42" spans="1:11" ht="12.75">
      <c r="A42" s="98" t="e">
        <f>#REF!+#REF!-#REF!</f>
        <v>#REF!</v>
      </c>
      <c r="B42" s="98" t="e">
        <f>#REF!+#REF!-#REF!</f>
        <v>#REF!</v>
      </c>
      <c r="C42" s="98" t="e">
        <f>#REF!+#REF!-#REF!</f>
        <v>#REF!</v>
      </c>
      <c r="D42" s="98" t="e">
        <f>#REF!+#REF!-#REF!</f>
        <v>#REF!</v>
      </c>
      <c r="E42" s="98" t="e">
        <f>'2.8.Felúj.'!#REF!+'2.8.Felúj.'!#REF!-'2.8.Felúj.'!#REF!</f>
        <v>#REF!</v>
      </c>
      <c r="F42" s="98" t="e">
        <f>'2.5.Céltart'!#REF!+'2.5.Céltart'!#REF!-'2.5.Céltart'!#REF!</f>
        <v>#REF!</v>
      </c>
      <c r="G42" s="98" t="e">
        <f>#REF!+#REF!-#REF!</f>
        <v>#REF!</v>
      </c>
      <c r="H42" s="98" t="e">
        <f>#REF!+#REF!-#REF!</f>
        <v>#REF!</v>
      </c>
      <c r="I42" s="98" t="e">
        <f>#REF!+#REF!-#REF!</f>
        <v>#REF!</v>
      </c>
      <c r="J42" t="e">
        <f>#REF!+#REF!-#REF!</f>
        <v>#REF!</v>
      </c>
      <c r="K42" s="98" t="e">
        <f>#REF!+#REF!-#REF!</f>
        <v>#REF!</v>
      </c>
    </row>
    <row r="43" spans="1:11" ht="12.75">
      <c r="A43" s="98" t="e">
        <f>#REF!+#REF!-#REF!</f>
        <v>#REF!</v>
      </c>
      <c r="B43" s="98" t="e">
        <f>#REF!+#REF!-#REF!</f>
        <v>#REF!</v>
      </c>
      <c r="C43" s="98" t="e">
        <f>#REF!+#REF!-#REF!</f>
        <v>#REF!</v>
      </c>
      <c r="D43" s="98" t="e">
        <f>#REF!+#REF!-#REF!</f>
        <v>#REF!</v>
      </c>
      <c r="E43" s="98" t="e">
        <f>'2.8.Felúj.'!#REF!+'2.8.Felúj.'!#REF!-'2.8.Felúj.'!#REF!</f>
        <v>#REF!</v>
      </c>
      <c r="F43" s="98" t="e">
        <f>'2.5.Céltart'!#REF!+'2.5.Céltart'!#REF!-'2.5.Céltart'!#REF!</f>
        <v>#REF!</v>
      </c>
      <c r="G43" s="98" t="e">
        <f>#REF!+#REF!-#REF!</f>
        <v>#REF!</v>
      </c>
      <c r="H43" s="98" t="e">
        <f>#REF!+#REF!-#REF!</f>
        <v>#REF!</v>
      </c>
      <c r="I43" s="98" t="e">
        <f>#REF!+#REF!-#REF!</f>
        <v>#REF!</v>
      </c>
      <c r="J43" t="e">
        <f>#REF!+#REF!-#REF!</f>
        <v>#REF!</v>
      </c>
      <c r="K43" s="98" t="e">
        <f>#REF!+#REF!-#REF!</f>
        <v>#REF!</v>
      </c>
    </row>
    <row r="44" spans="1:11" ht="12.75">
      <c r="A44" s="98" t="e">
        <f>#REF!+#REF!-#REF!</f>
        <v>#REF!</v>
      </c>
      <c r="B44" s="98" t="e">
        <f>#REF!+#REF!-#REF!</f>
        <v>#REF!</v>
      </c>
      <c r="C44" s="98" t="e">
        <f>#REF!+#REF!-#REF!</f>
        <v>#REF!</v>
      </c>
      <c r="D44" s="98" t="e">
        <f>#REF!+#REF!-#REF!</f>
        <v>#REF!</v>
      </c>
      <c r="E44" s="98" t="e">
        <f>'2.8.Felúj.'!#REF!+'2.8.Felúj.'!#REF!-'2.8.Felúj.'!#REF!</f>
        <v>#REF!</v>
      </c>
      <c r="F44" s="98" t="e">
        <f>'2.5.Céltart'!#REF!+'2.5.Céltart'!#REF!-'2.5.Céltart'!#REF!</f>
        <v>#REF!</v>
      </c>
      <c r="G44" s="98" t="e">
        <f>#REF!+#REF!-#REF!</f>
        <v>#REF!</v>
      </c>
      <c r="H44" s="98" t="e">
        <f>#REF!+#REF!-#REF!</f>
        <v>#REF!</v>
      </c>
      <c r="I44" s="98" t="e">
        <f>#REF!+#REF!-#REF!</f>
        <v>#REF!</v>
      </c>
      <c r="J44" t="e">
        <f>#REF!+#REF!-#REF!</f>
        <v>#REF!</v>
      </c>
      <c r="K44" s="98" t="e">
        <f>#REF!+#REF!-#REF!</f>
        <v>#REF!</v>
      </c>
    </row>
    <row r="45" spans="1:11" ht="12.75">
      <c r="A45" s="98" t="e">
        <f>#REF!+#REF!-#REF!</f>
        <v>#REF!</v>
      </c>
      <c r="B45" s="98" t="e">
        <f>#REF!+#REF!-#REF!</f>
        <v>#REF!</v>
      </c>
      <c r="C45" s="98" t="e">
        <f>#REF!+#REF!-#REF!</f>
        <v>#REF!</v>
      </c>
      <c r="D45" s="98" t="e">
        <f>#REF!+#REF!-#REF!</f>
        <v>#REF!</v>
      </c>
      <c r="E45" s="98" t="e">
        <f>'2.8.Felúj.'!#REF!+'2.8.Felúj.'!#REF!-'2.8.Felúj.'!#REF!</f>
        <v>#REF!</v>
      </c>
      <c r="F45" s="98" t="e">
        <f>'2.5.Céltart'!#REF!+'2.5.Céltart'!#REF!-'2.5.Céltart'!#REF!</f>
        <v>#REF!</v>
      </c>
      <c r="G45" s="98" t="e">
        <f>#REF!+#REF!-#REF!</f>
        <v>#REF!</v>
      </c>
      <c r="H45" s="98" t="e">
        <f>#REF!+#REF!-#REF!</f>
        <v>#REF!</v>
      </c>
      <c r="I45" s="98" t="e">
        <f>#REF!+#REF!-#REF!</f>
        <v>#REF!</v>
      </c>
      <c r="J45" t="e">
        <f>#REF!+#REF!-#REF!</f>
        <v>#REF!</v>
      </c>
      <c r="K45" s="98" t="e">
        <f>#REF!+#REF!-#REF!</f>
        <v>#REF!</v>
      </c>
    </row>
    <row r="46" spans="1:11" ht="12.75">
      <c r="A46" s="98" t="e">
        <f>#REF!+#REF!-#REF!</f>
        <v>#REF!</v>
      </c>
      <c r="B46" s="98" t="e">
        <f>#REF!+#REF!-#REF!</f>
        <v>#REF!</v>
      </c>
      <c r="C46" s="98" t="e">
        <f>#REF!+#REF!-#REF!</f>
        <v>#REF!</v>
      </c>
      <c r="D46" s="98" t="e">
        <f>#REF!+#REF!-#REF!</f>
        <v>#REF!</v>
      </c>
      <c r="E46" s="98" t="e">
        <f>'2.8.Felúj.'!#REF!+'2.8.Felúj.'!#REF!-'2.8.Felúj.'!#REF!</f>
        <v>#REF!</v>
      </c>
      <c r="F46" s="98" t="e">
        <f>'2.5.Céltart'!#REF!+'2.5.Céltart'!#REF!-'2.5.Céltart'!#REF!</f>
        <v>#REF!</v>
      </c>
      <c r="G46" s="98" t="e">
        <f>#REF!+#REF!-#REF!</f>
        <v>#REF!</v>
      </c>
      <c r="H46" s="98" t="e">
        <f>#REF!+#REF!-#REF!</f>
        <v>#REF!</v>
      </c>
      <c r="I46" s="98" t="e">
        <f>#REF!+#REF!-#REF!</f>
        <v>#REF!</v>
      </c>
      <c r="J46" t="e">
        <f>#REF!+#REF!-#REF!</f>
        <v>#REF!</v>
      </c>
      <c r="K46" s="98" t="e">
        <f>#REF!+#REF!-#REF!</f>
        <v>#REF!</v>
      </c>
    </row>
    <row r="47" spans="1:11" ht="12.75">
      <c r="A47" s="98" t="e">
        <f>#REF!+#REF!-#REF!</f>
        <v>#REF!</v>
      </c>
      <c r="B47" s="98" t="e">
        <f>#REF!+#REF!-#REF!</f>
        <v>#REF!</v>
      </c>
      <c r="C47" s="98" t="e">
        <f>#REF!+#REF!-#REF!</f>
        <v>#REF!</v>
      </c>
      <c r="D47" s="98" t="e">
        <f>#REF!+#REF!-#REF!</f>
        <v>#REF!</v>
      </c>
      <c r="E47" s="98" t="e">
        <f>'2.8.Felúj.'!#REF!+'2.8.Felúj.'!#REF!-'2.8.Felúj.'!#REF!</f>
        <v>#REF!</v>
      </c>
      <c r="F47" s="98" t="e">
        <f>'2.5.Céltart'!#REF!+'2.5.Céltart'!#REF!-'2.5.Céltart'!#REF!</f>
        <v>#REF!</v>
      </c>
      <c r="G47" s="98" t="e">
        <f>#REF!+#REF!-#REF!</f>
        <v>#REF!</v>
      </c>
      <c r="H47" s="98" t="e">
        <f>#REF!+#REF!-#REF!</f>
        <v>#REF!</v>
      </c>
      <c r="I47" s="98" t="e">
        <f>#REF!+#REF!-#REF!</f>
        <v>#REF!</v>
      </c>
      <c r="J47" t="e">
        <f>#REF!+#REF!-#REF!</f>
        <v>#REF!</v>
      </c>
      <c r="K47" s="98" t="e">
        <f>#REF!+#REF!-#REF!</f>
        <v>#REF!</v>
      </c>
    </row>
    <row r="48" spans="1:11" ht="12.75">
      <c r="A48" s="98" t="e">
        <f>#REF!+#REF!-#REF!</f>
        <v>#REF!</v>
      </c>
      <c r="B48" s="98" t="e">
        <f>#REF!+#REF!-#REF!</f>
        <v>#REF!</v>
      </c>
      <c r="C48" s="98" t="e">
        <f>#REF!+#REF!-#REF!</f>
        <v>#REF!</v>
      </c>
      <c r="D48" s="98" t="e">
        <f>#REF!+#REF!-#REF!</f>
        <v>#REF!</v>
      </c>
      <c r="E48" s="98" t="e">
        <f>'2.8.Felúj.'!#REF!+'2.8.Felúj.'!#REF!-'2.8.Felúj.'!#REF!</f>
        <v>#REF!</v>
      </c>
      <c r="F48" s="98" t="e">
        <f>'2.5.Céltart'!#REF!+'2.5.Céltart'!#REF!-'2.5.Céltart'!#REF!</f>
        <v>#REF!</v>
      </c>
      <c r="G48" s="98" t="e">
        <f>#REF!+#REF!-#REF!</f>
        <v>#REF!</v>
      </c>
      <c r="H48" s="98" t="e">
        <f>#REF!+#REF!-#REF!</f>
        <v>#REF!</v>
      </c>
      <c r="I48" s="98" t="e">
        <f>#REF!+#REF!-#REF!</f>
        <v>#REF!</v>
      </c>
      <c r="J48" t="e">
        <f>#REF!+#REF!-#REF!</f>
        <v>#REF!</v>
      </c>
      <c r="K48" s="98" t="e">
        <f>#REF!+#REF!-#REF!</f>
        <v>#REF!</v>
      </c>
    </row>
    <row r="49" spans="1:11" ht="12.75">
      <c r="A49" s="98" t="e">
        <f>#REF!+#REF!-#REF!</f>
        <v>#REF!</v>
      </c>
      <c r="B49" s="98" t="e">
        <f>#REF!+#REF!-#REF!</f>
        <v>#REF!</v>
      </c>
      <c r="C49" s="98" t="e">
        <f>#REF!+#REF!-#REF!</f>
        <v>#REF!</v>
      </c>
      <c r="D49" s="98" t="e">
        <f>#REF!+#REF!-#REF!</f>
        <v>#REF!</v>
      </c>
      <c r="E49" s="98" t="e">
        <f>'2.8.Felúj.'!#REF!+'2.8.Felúj.'!#REF!-'2.8.Felúj.'!#REF!</f>
        <v>#REF!</v>
      </c>
      <c r="F49" s="98" t="e">
        <f>'2.5.Céltart'!#REF!+'2.5.Céltart'!#REF!-'2.5.Céltart'!#REF!</f>
        <v>#REF!</v>
      </c>
      <c r="G49" s="98" t="e">
        <f>#REF!+#REF!-#REF!</f>
        <v>#REF!</v>
      </c>
      <c r="H49" s="98" t="e">
        <f>#REF!+#REF!-#REF!</f>
        <v>#REF!</v>
      </c>
      <c r="I49" s="98" t="e">
        <f>#REF!+#REF!-#REF!</f>
        <v>#REF!</v>
      </c>
      <c r="J49" t="e">
        <f>#REF!+#REF!-#REF!</f>
        <v>#REF!</v>
      </c>
      <c r="K49" s="98" t="e">
        <f>#REF!+#REF!-#REF!</f>
        <v>#REF!</v>
      </c>
    </row>
    <row r="50" spans="1:11" ht="12.75">
      <c r="A50" s="98" t="e">
        <f>#REF!+#REF!-#REF!</f>
        <v>#REF!</v>
      </c>
      <c r="B50" s="98" t="e">
        <f>#REF!+#REF!-#REF!</f>
        <v>#REF!</v>
      </c>
      <c r="C50" s="98" t="e">
        <f>#REF!+#REF!-#REF!</f>
        <v>#REF!</v>
      </c>
      <c r="D50" s="98" t="e">
        <f>#REF!+#REF!-#REF!</f>
        <v>#REF!</v>
      </c>
      <c r="E50" s="98" t="e">
        <f>'2.8.Felúj.'!#REF!+'2.8.Felúj.'!#REF!-'2.8.Felúj.'!#REF!</f>
        <v>#REF!</v>
      </c>
      <c r="F50" s="98" t="e">
        <f>'2.5.Céltart'!#REF!+'2.5.Céltart'!#REF!-'2.5.Céltart'!#REF!</f>
        <v>#REF!</v>
      </c>
      <c r="G50" s="98" t="e">
        <f>#REF!+#REF!-#REF!</f>
        <v>#REF!</v>
      </c>
      <c r="H50" s="98" t="e">
        <f>#REF!+#REF!-#REF!</f>
        <v>#REF!</v>
      </c>
      <c r="I50" s="98" t="e">
        <f>#REF!+#REF!-#REF!</f>
        <v>#REF!</v>
      </c>
      <c r="J50" t="e">
        <f>#REF!+#REF!-#REF!</f>
        <v>#REF!</v>
      </c>
      <c r="K50" s="98" t="e">
        <f>#REF!+#REF!-#REF!</f>
        <v>#REF!</v>
      </c>
    </row>
    <row r="51" spans="1:11" ht="12.75">
      <c r="A51" s="98" t="e">
        <f>#REF!+#REF!-#REF!</f>
        <v>#REF!</v>
      </c>
      <c r="B51" s="98" t="e">
        <f>#REF!+#REF!-#REF!</f>
        <v>#REF!</v>
      </c>
      <c r="C51" s="98" t="e">
        <f>#REF!+#REF!-#REF!</f>
        <v>#REF!</v>
      </c>
      <c r="D51" s="98" t="e">
        <f>#REF!+#REF!-#REF!</f>
        <v>#REF!</v>
      </c>
      <c r="E51" s="98" t="e">
        <f>'2.8.Felúj.'!#REF!+'2.8.Felúj.'!#REF!-'2.8.Felúj.'!#REF!</f>
        <v>#REF!</v>
      </c>
      <c r="F51" s="98" t="e">
        <f>'2.5.Céltart'!#REF!+'2.5.Céltart'!#REF!-'2.5.Céltart'!#REF!</f>
        <v>#REF!</v>
      </c>
      <c r="G51" s="98" t="e">
        <f>#REF!+#REF!-#REF!</f>
        <v>#REF!</v>
      </c>
      <c r="H51" s="98" t="e">
        <f>#REF!+#REF!-#REF!</f>
        <v>#REF!</v>
      </c>
      <c r="I51" s="98" t="e">
        <f>#REF!+#REF!-#REF!</f>
        <v>#REF!</v>
      </c>
      <c r="J51" t="e">
        <f>#REF!+#REF!-#REF!</f>
        <v>#REF!</v>
      </c>
      <c r="K51" s="98" t="e">
        <f>#REF!+#REF!-#REF!</f>
        <v>#REF!</v>
      </c>
    </row>
    <row r="52" spans="1:11" ht="12.75">
      <c r="A52" s="98" t="e">
        <f>#REF!+#REF!-#REF!</f>
        <v>#REF!</v>
      </c>
      <c r="B52" s="98" t="e">
        <f>#REF!+#REF!-#REF!</f>
        <v>#REF!</v>
      </c>
      <c r="C52" s="98" t="e">
        <f>#REF!+#REF!-#REF!</f>
        <v>#REF!</v>
      </c>
      <c r="D52" s="98" t="e">
        <f>#REF!+#REF!-#REF!</f>
        <v>#REF!</v>
      </c>
      <c r="E52" s="98" t="e">
        <f>'2.8.Felúj.'!#REF!+'2.8.Felúj.'!#REF!-'2.8.Felúj.'!#REF!</f>
        <v>#REF!</v>
      </c>
      <c r="F52" s="98" t="e">
        <f>'2.5.Céltart'!#REF!+'2.5.Céltart'!#REF!-'2.5.Céltart'!#REF!</f>
        <v>#REF!</v>
      </c>
      <c r="G52" s="98" t="e">
        <f>#REF!+#REF!-#REF!</f>
        <v>#REF!</v>
      </c>
      <c r="H52" s="98" t="e">
        <f>#REF!+#REF!-#REF!</f>
        <v>#REF!</v>
      </c>
      <c r="I52" s="98" t="e">
        <f>#REF!+#REF!-#REF!</f>
        <v>#REF!</v>
      </c>
      <c r="J52" t="e">
        <f>#REF!+#REF!-#REF!</f>
        <v>#REF!</v>
      </c>
      <c r="K52" s="98" t="e">
        <f>#REF!+#REF!-#REF!</f>
        <v>#REF!</v>
      </c>
    </row>
    <row r="53" spans="1:11" ht="12.75">
      <c r="A53" s="98" t="e">
        <f>#REF!+#REF!-#REF!</f>
        <v>#REF!</v>
      </c>
      <c r="B53" s="98" t="e">
        <f>#REF!+#REF!-#REF!</f>
        <v>#REF!</v>
      </c>
      <c r="C53" s="98" t="e">
        <f>#REF!+#REF!-#REF!</f>
        <v>#REF!</v>
      </c>
      <c r="D53" s="98" t="e">
        <f>#REF!+#REF!-#REF!</f>
        <v>#REF!</v>
      </c>
      <c r="E53" s="98" t="e">
        <f>'2.8.Felúj.'!#REF!+'2.8.Felúj.'!#REF!-'2.8.Felúj.'!#REF!</f>
        <v>#REF!</v>
      </c>
      <c r="F53" s="98" t="e">
        <f>'2.5.Céltart'!#REF!+'2.5.Céltart'!#REF!-'2.5.Céltart'!#REF!</f>
        <v>#REF!</v>
      </c>
      <c r="G53" s="98" t="e">
        <f>#REF!+#REF!-#REF!</f>
        <v>#REF!</v>
      </c>
      <c r="H53" s="98" t="e">
        <f>#REF!+#REF!-#REF!</f>
        <v>#REF!</v>
      </c>
      <c r="I53" s="98" t="e">
        <f>#REF!+#REF!-#REF!</f>
        <v>#REF!</v>
      </c>
      <c r="J53" t="e">
        <f>#REF!+#REF!-#REF!</f>
        <v>#REF!</v>
      </c>
      <c r="K53" s="98" t="e">
        <f>#REF!+#REF!-#REF!</f>
        <v>#REF!</v>
      </c>
    </row>
    <row r="54" spans="1:11" ht="12.75">
      <c r="A54" s="98" t="e">
        <f>#REF!+#REF!-#REF!</f>
        <v>#REF!</v>
      </c>
      <c r="B54" s="98" t="e">
        <f>#REF!+#REF!-#REF!</f>
        <v>#REF!</v>
      </c>
      <c r="C54" s="98" t="e">
        <f>#REF!+#REF!-#REF!</f>
        <v>#REF!</v>
      </c>
      <c r="D54" s="98" t="e">
        <f>#REF!+#REF!-#REF!</f>
        <v>#REF!</v>
      </c>
      <c r="E54" s="98" t="e">
        <f>'2.8.Felúj.'!#REF!+'2.8.Felúj.'!#REF!-'2.8.Felúj.'!#REF!</f>
        <v>#REF!</v>
      </c>
      <c r="F54" s="98" t="e">
        <f>'2.5.Céltart'!#REF!+'2.5.Céltart'!#REF!-'2.5.Céltart'!#REF!</f>
        <v>#REF!</v>
      </c>
      <c r="G54" s="98" t="e">
        <f>#REF!+#REF!-#REF!</f>
        <v>#REF!</v>
      </c>
      <c r="H54" s="98" t="e">
        <f>#REF!+#REF!-#REF!</f>
        <v>#REF!</v>
      </c>
      <c r="I54" s="98" t="e">
        <f>#REF!+#REF!-#REF!</f>
        <v>#REF!</v>
      </c>
      <c r="J54" t="e">
        <f>#REF!+#REF!-#REF!</f>
        <v>#REF!</v>
      </c>
      <c r="K54" s="98" t="e">
        <f>#REF!+#REF!-#REF!</f>
        <v>#REF!</v>
      </c>
    </row>
    <row r="55" spans="1:11" ht="12.75">
      <c r="A55" s="98" t="e">
        <f>#REF!+#REF!-#REF!</f>
        <v>#REF!</v>
      </c>
      <c r="B55" s="98" t="e">
        <f>#REF!+#REF!-#REF!</f>
        <v>#REF!</v>
      </c>
      <c r="C55" s="98" t="e">
        <f>#REF!+#REF!-#REF!</f>
        <v>#REF!</v>
      </c>
      <c r="D55" s="98" t="e">
        <f>#REF!+#REF!-#REF!</f>
        <v>#REF!</v>
      </c>
      <c r="E55" s="98" t="e">
        <f>'2.8.Felúj.'!#REF!+'2.8.Felúj.'!#REF!-'2.8.Felúj.'!#REF!</f>
        <v>#REF!</v>
      </c>
      <c r="F55" s="98" t="e">
        <f>'2.5.Céltart'!#REF!+'2.5.Céltart'!#REF!-'2.5.Céltart'!#REF!</f>
        <v>#REF!</v>
      </c>
      <c r="G55" s="98" t="e">
        <f>#REF!+#REF!-#REF!</f>
        <v>#REF!</v>
      </c>
      <c r="H55" s="98" t="e">
        <f>#REF!+#REF!-#REF!</f>
        <v>#REF!</v>
      </c>
      <c r="I55" s="98" t="e">
        <f>#REF!+#REF!-#REF!</f>
        <v>#REF!</v>
      </c>
      <c r="J55" t="e">
        <f>#REF!+#REF!-#REF!</f>
        <v>#REF!</v>
      </c>
      <c r="K55" s="98" t="e">
        <f>#REF!+#REF!-#REF!</f>
        <v>#REF!</v>
      </c>
    </row>
    <row r="56" spans="1:11" ht="12.75">
      <c r="A56" s="98" t="e">
        <f>#REF!+#REF!-#REF!</f>
        <v>#REF!</v>
      </c>
      <c r="B56" s="98" t="e">
        <f>#REF!+#REF!-#REF!</f>
        <v>#REF!</v>
      </c>
      <c r="C56" s="98" t="e">
        <f>#REF!+#REF!-#REF!</f>
        <v>#REF!</v>
      </c>
      <c r="D56" s="98" t="e">
        <f>#REF!+#REF!-#REF!</f>
        <v>#REF!</v>
      </c>
      <c r="E56" s="98" t="e">
        <f>'2.8.Felúj.'!#REF!+'2.8.Felúj.'!#REF!-'2.8.Felúj.'!#REF!</f>
        <v>#REF!</v>
      </c>
      <c r="F56" s="98" t="e">
        <f>'2.5.Céltart'!#REF!+'2.5.Céltart'!#REF!-'2.5.Céltart'!#REF!</f>
        <v>#REF!</v>
      </c>
      <c r="G56" s="98" t="e">
        <f>#REF!+#REF!-#REF!</f>
        <v>#REF!</v>
      </c>
      <c r="H56" s="98" t="e">
        <f>#REF!+#REF!-#REF!</f>
        <v>#REF!</v>
      </c>
      <c r="I56" s="98" t="e">
        <f>#REF!+#REF!-#REF!</f>
        <v>#REF!</v>
      </c>
      <c r="J56" t="e">
        <f>#REF!+#REF!-#REF!</f>
        <v>#REF!</v>
      </c>
      <c r="K56" s="98" t="e">
        <f>#REF!+#REF!-#REF!</f>
        <v>#REF!</v>
      </c>
    </row>
    <row r="57" spans="1:11" ht="12.75">
      <c r="A57" s="98" t="e">
        <f>#REF!+#REF!-#REF!</f>
        <v>#REF!</v>
      </c>
      <c r="B57" s="98" t="e">
        <f>#REF!+#REF!-#REF!</f>
        <v>#REF!</v>
      </c>
      <c r="C57" s="98" t="e">
        <f>#REF!+#REF!-#REF!</f>
        <v>#REF!</v>
      </c>
      <c r="D57" s="98" t="e">
        <f>#REF!+#REF!-#REF!</f>
        <v>#REF!</v>
      </c>
      <c r="E57" s="98" t="e">
        <f>'2.8.Felúj.'!#REF!+'2.8.Felúj.'!#REF!-'2.8.Felúj.'!#REF!</f>
        <v>#REF!</v>
      </c>
      <c r="F57" s="98" t="e">
        <f>'2.5.Céltart'!#REF!+'2.5.Céltart'!#REF!-'2.5.Céltart'!#REF!</f>
        <v>#REF!</v>
      </c>
      <c r="G57" s="98" t="e">
        <f>#REF!+#REF!-#REF!</f>
        <v>#REF!</v>
      </c>
      <c r="H57" s="98" t="e">
        <f>#REF!+#REF!-#REF!</f>
        <v>#REF!</v>
      </c>
      <c r="I57" s="98" t="e">
        <f>#REF!+#REF!-#REF!</f>
        <v>#REF!</v>
      </c>
      <c r="J57" t="e">
        <f>#REF!+#REF!-#REF!</f>
        <v>#REF!</v>
      </c>
      <c r="K57" s="98" t="e">
        <f>#REF!+#REF!-#REF!</f>
        <v>#REF!</v>
      </c>
    </row>
    <row r="58" spans="1:11" ht="12.75">
      <c r="A58" s="98" t="e">
        <f>#REF!+#REF!-#REF!</f>
        <v>#REF!</v>
      </c>
      <c r="B58" s="98" t="e">
        <f>#REF!+#REF!-#REF!</f>
        <v>#REF!</v>
      </c>
      <c r="C58" s="98" t="e">
        <f>#REF!+#REF!-#REF!</f>
        <v>#REF!</v>
      </c>
      <c r="D58" s="98" t="e">
        <f>#REF!+#REF!-#REF!</f>
        <v>#REF!</v>
      </c>
      <c r="E58" s="98" t="e">
        <f>'2.8.Felúj.'!#REF!+'2.8.Felúj.'!#REF!-'2.8.Felúj.'!#REF!</f>
        <v>#REF!</v>
      </c>
      <c r="F58" s="98" t="e">
        <f>'2.5.Céltart'!#REF!+'2.5.Céltart'!#REF!-'2.5.Céltart'!#REF!</f>
        <v>#REF!</v>
      </c>
      <c r="G58" s="98" t="e">
        <f>#REF!+#REF!-#REF!</f>
        <v>#REF!</v>
      </c>
      <c r="H58" s="98" t="e">
        <f>#REF!+#REF!-#REF!</f>
        <v>#REF!</v>
      </c>
      <c r="I58" s="98" t="e">
        <f>#REF!+#REF!-#REF!</f>
        <v>#REF!</v>
      </c>
      <c r="J58" t="e">
        <f>#REF!+#REF!-#REF!</f>
        <v>#REF!</v>
      </c>
      <c r="K58" s="98" t="e">
        <f>#REF!+#REF!-#REF!</f>
        <v>#REF!</v>
      </c>
    </row>
    <row r="59" spans="1:11" ht="12.75">
      <c r="A59" s="98" t="e">
        <f>#REF!+#REF!-#REF!</f>
        <v>#REF!</v>
      </c>
      <c r="B59" s="98" t="e">
        <f>#REF!+#REF!-#REF!</f>
        <v>#REF!</v>
      </c>
      <c r="C59" s="98" t="e">
        <f>#REF!+#REF!-#REF!</f>
        <v>#REF!</v>
      </c>
      <c r="D59" s="98" t="e">
        <f>#REF!+#REF!-#REF!</f>
        <v>#REF!</v>
      </c>
      <c r="E59" s="98" t="e">
        <f>'2.8.Felúj.'!#REF!+'2.8.Felúj.'!#REF!-'2.8.Felúj.'!#REF!</f>
        <v>#REF!</v>
      </c>
      <c r="F59" s="98" t="e">
        <f>'2.5.Céltart'!#REF!+'2.5.Céltart'!#REF!-'2.5.Céltart'!#REF!</f>
        <v>#REF!</v>
      </c>
      <c r="G59" s="98" t="e">
        <f>#REF!+#REF!-#REF!</f>
        <v>#REF!</v>
      </c>
      <c r="H59" s="98" t="e">
        <f>#REF!+#REF!-#REF!</f>
        <v>#REF!</v>
      </c>
      <c r="I59" s="98" t="e">
        <f>#REF!+#REF!-#REF!</f>
        <v>#REF!</v>
      </c>
      <c r="J59" t="e">
        <f>#REF!+#REF!-#REF!</f>
        <v>#REF!</v>
      </c>
      <c r="K59" s="98" t="e">
        <f>#REF!+#REF!-#REF!</f>
        <v>#REF!</v>
      </c>
    </row>
    <row r="60" spans="1:11" ht="12.75">
      <c r="A60" s="98" t="e">
        <f>#REF!+#REF!-#REF!</f>
        <v>#REF!</v>
      </c>
      <c r="B60" s="98" t="e">
        <f>#REF!+#REF!-#REF!</f>
        <v>#REF!</v>
      </c>
      <c r="C60" s="98" t="e">
        <f>#REF!+#REF!-#REF!</f>
        <v>#REF!</v>
      </c>
      <c r="D60" s="98" t="e">
        <f>#REF!+#REF!-#REF!</f>
        <v>#REF!</v>
      </c>
      <c r="E60" s="98" t="e">
        <f>'2.8.Felúj.'!#REF!+'2.8.Felúj.'!#REF!-'2.8.Felúj.'!#REF!</f>
        <v>#REF!</v>
      </c>
      <c r="F60" s="98" t="e">
        <f>'2.5.Céltart'!#REF!+'2.5.Céltart'!#REF!-'2.5.Céltart'!#REF!</f>
        <v>#REF!</v>
      </c>
      <c r="G60" s="98" t="e">
        <f>#REF!+#REF!-#REF!</f>
        <v>#REF!</v>
      </c>
      <c r="H60" s="98" t="e">
        <f>#REF!+#REF!-#REF!</f>
        <v>#REF!</v>
      </c>
      <c r="I60" s="98" t="e">
        <f>#REF!+#REF!-#REF!</f>
        <v>#REF!</v>
      </c>
      <c r="J60" t="e">
        <f>#REF!+#REF!-#REF!</f>
        <v>#REF!</v>
      </c>
      <c r="K60" s="98" t="e">
        <f>#REF!+#REF!-#REF!</f>
        <v>#REF!</v>
      </c>
    </row>
    <row r="61" spans="1:11" ht="12.75">
      <c r="A61" s="98" t="e">
        <f>#REF!+#REF!-#REF!</f>
        <v>#REF!</v>
      </c>
      <c r="B61" s="98" t="e">
        <f>#REF!+#REF!-#REF!</f>
        <v>#REF!</v>
      </c>
      <c r="C61" s="98" t="e">
        <f>#REF!+#REF!-#REF!</f>
        <v>#REF!</v>
      </c>
      <c r="D61" s="98" t="e">
        <f>#REF!+#REF!-#REF!</f>
        <v>#REF!</v>
      </c>
      <c r="E61" s="98" t="e">
        <f>'2.8.Felúj.'!#REF!+'2.8.Felúj.'!#REF!-'2.8.Felúj.'!#REF!</f>
        <v>#REF!</v>
      </c>
      <c r="F61" s="98" t="e">
        <f>'2.5.Céltart'!#REF!+'2.5.Céltart'!#REF!-'2.5.Céltart'!#REF!</f>
        <v>#REF!</v>
      </c>
      <c r="G61" s="98" t="e">
        <f>#REF!+#REF!-#REF!</f>
        <v>#REF!</v>
      </c>
      <c r="H61" s="98" t="e">
        <f>#REF!+#REF!-#REF!</f>
        <v>#REF!</v>
      </c>
      <c r="I61" s="98" t="e">
        <f>#REF!+#REF!-#REF!</f>
        <v>#REF!</v>
      </c>
      <c r="J61" t="e">
        <f>#REF!+#REF!-#REF!</f>
        <v>#REF!</v>
      </c>
      <c r="K61" s="98" t="e">
        <f>#REF!+#REF!-#REF!</f>
        <v>#REF!</v>
      </c>
    </row>
    <row r="62" spans="1:11" ht="12.75">
      <c r="A62" s="98" t="e">
        <f>#REF!+#REF!-#REF!</f>
        <v>#REF!</v>
      </c>
      <c r="B62" s="98" t="e">
        <f>#REF!+#REF!-#REF!</f>
        <v>#REF!</v>
      </c>
      <c r="C62" s="98" t="e">
        <f>#REF!+#REF!-#REF!</f>
        <v>#REF!</v>
      </c>
      <c r="D62" s="98" t="e">
        <f>#REF!+#REF!-#REF!</f>
        <v>#REF!</v>
      </c>
      <c r="E62" s="98" t="e">
        <f>'2.8.Felúj.'!#REF!+'2.8.Felúj.'!#REF!-'2.8.Felúj.'!#REF!</f>
        <v>#REF!</v>
      </c>
      <c r="F62" s="98" t="e">
        <f>'2.5.Céltart'!#REF!+'2.5.Céltart'!#REF!-'2.5.Céltart'!#REF!</f>
        <v>#REF!</v>
      </c>
      <c r="G62" s="98" t="e">
        <f>#REF!+#REF!-#REF!</f>
        <v>#REF!</v>
      </c>
      <c r="H62" s="98" t="e">
        <f>#REF!+#REF!-#REF!</f>
        <v>#REF!</v>
      </c>
      <c r="I62" s="98" t="e">
        <f>#REF!+#REF!-#REF!</f>
        <v>#REF!</v>
      </c>
      <c r="J62" t="e">
        <f>#REF!+#REF!-#REF!</f>
        <v>#REF!</v>
      </c>
      <c r="K62" s="98" t="e">
        <f>#REF!+#REF!-#REF!</f>
        <v>#REF!</v>
      </c>
    </row>
    <row r="63" spans="1:11" ht="12.75">
      <c r="A63" s="98" t="e">
        <f>#REF!+#REF!-#REF!</f>
        <v>#REF!</v>
      </c>
      <c r="B63" s="98" t="e">
        <f>#REF!+#REF!-#REF!</f>
        <v>#REF!</v>
      </c>
      <c r="C63" s="98" t="e">
        <f>#REF!+#REF!-#REF!</f>
        <v>#REF!</v>
      </c>
      <c r="D63" s="98" t="e">
        <f>#REF!+#REF!-#REF!</f>
        <v>#REF!</v>
      </c>
      <c r="E63" s="98" t="e">
        <f>'2.8.Felúj.'!#REF!+'2.8.Felúj.'!#REF!-'2.8.Felúj.'!#REF!</f>
        <v>#REF!</v>
      </c>
      <c r="F63" s="98" t="e">
        <f>'2.5.Céltart'!#REF!+'2.5.Céltart'!#REF!-'2.5.Céltart'!#REF!</f>
        <v>#REF!</v>
      </c>
      <c r="G63" s="98" t="e">
        <f>#REF!+#REF!-#REF!</f>
        <v>#REF!</v>
      </c>
      <c r="H63" s="98" t="e">
        <f>#REF!+#REF!-#REF!</f>
        <v>#REF!</v>
      </c>
      <c r="I63" s="98" t="e">
        <f>#REF!+#REF!-#REF!</f>
        <v>#REF!</v>
      </c>
      <c r="J63" t="e">
        <f>#REF!+#REF!-#REF!</f>
        <v>#REF!</v>
      </c>
      <c r="K63" s="98" t="e">
        <f>#REF!+#REF!-#REF!</f>
        <v>#REF!</v>
      </c>
    </row>
    <row r="64" spans="1:11" ht="12.75">
      <c r="A64" s="98" t="e">
        <f>#REF!+#REF!-#REF!</f>
        <v>#REF!</v>
      </c>
      <c r="B64" s="98" t="e">
        <f>#REF!+#REF!-#REF!</f>
        <v>#REF!</v>
      </c>
      <c r="C64" s="98" t="e">
        <f>#REF!+#REF!-#REF!</f>
        <v>#REF!</v>
      </c>
      <c r="D64" s="98" t="e">
        <f>#REF!+#REF!-#REF!</f>
        <v>#REF!</v>
      </c>
      <c r="E64" s="98" t="e">
        <f>'2.8.Felúj.'!#REF!+'2.8.Felúj.'!#REF!-'2.8.Felúj.'!#REF!</f>
        <v>#REF!</v>
      </c>
      <c r="F64" s="98" t="e">
        <f>'2.5.Céltart'!#REF!+'2.5.Céltart'!#REF!-'2.5.Céltart'!#REF!</f>
        <v>#REF!</v>
      </c>
      <c r="G64" s="98" t="e">
        <f>#REF!+#REF!-#REF!</f>
        <v>#REF!</v>
      </c>
      <c r="H64" s="98" t="e">
        <f>#REF!+#REF!-#REF!</f>
        <v>#REF!</v>
      </c>
      <c r="I64" s="98" t="e">
        <f>#REF!+#REF!-#REF!</f>
        <v>#REF!</v>
      </c>
      <c r="J64" t="e">
        <f>#REF!+#REF!-#REF!</f>
        <v>#REF!</v>
      </c>
      <c r="K64" s="98" t="e">
        <f>#REF!+#REF!-#REF!</f>
        <v>#REF!</v>
      </c>
    </row>
    <row r="65" spans="1:11" ht="12.75">
      <c r="A65" s="98" t="e">
        <f>#REF!+#REF!-#REF!</f>
        <v>#REF!</v>
      </c>
      <c r="B65" s="98" t="e">
        <f>#REF!+#REF!-#REF!</f>
        <v>#REF!</v>
      </c>
      <c r="C65" s="98" t="e">
        <f>#REF!+#REF!-#REF!</f>
        <v>#REF!</v>
      </c>
      <c r="D65" s="98" t="e">
        <f>#REF!+#REF!-#REF!</f>
        <v>#REF!</v>
      </c>
      <c r="E65" s="98" t="e">
        <f>'2.8.Felúj.'!#REF!+'2.8.Felúj.'!#REF!-'2.8.Felúj.'!#REF!</f>
        <v>#REF!</v>
      </c>
      <c r="F65" s="98" t="e">
        <f>'2.5.Céltart'!#REF!+'2.5.Céltart'!#REF!-'2.5.Céltart'!#REF!</f>
        <v>#REF!</v>
      </c>
      <c r="G65" s="98" t="e">
        <f>#REF!+#REF!-#REF!</f>
        <v>#REF!</v>
      </c>
      <c r="H65" s="98" t="e">
        <f>#REF!+#REF!-#REF!</f>
        <v>#REF!</v>
      </c>
      <c r="I65" s="98" t="e">
        <f>#REF!+#REF!-#REF!</f>
        <v>#REF!</v>
      </c>
      <c r="J65" t="e">
        <f>#REF!+#REF!-#REF!</f>
        <v>#REF!</v>
      </c>
      <c r="K65" s="98" t="e">
        <f>#REF!+#REF!-#REF!</f>
        <v>#REF!</v>
      </c>
    </row>
    <row r="66" spans="1:11" ht="12.75">
      <c r="A66" s="98" t="e">
        <f>#REF!+#REF!-#REF!</f>
        <v>#REF!</v>
      </c>
      <c r="B66" s="98" t="e">
        <f>#REF!+#REF!-#REF!</f>
        <v>#REF!</v>
      </c>
      <c r="C66" s="98" t="e">
        <f>#REF!+#REF!-#REF!</f>
        <v>#REF!</v>
      </c>
      <c r="D66" s="98" t="e">
        <f>#REF!+#REF!-#REF!</f>
        <v>#REF!</v>
      </c>
      <c r="E66" s="98" t="e">
        <f>'2.8.Felúj.'!#REF!+'2.8.Felúj.'!#REF!-'2.8.Felúj.'!#REF!</f>
        <v>#REF!</v>
      </c>
      <c r="F66" s="98" t="e">
        <f>'2.5.Céltart'!#REF!+'2.5.Céltart'!#REF!-'2.5.Céltart'!#REF!</f>
        <v>#REF!</v>
      </c>
      <c r="G66" s="98" t="e">
        <f>#REF!+#REF!-#REF!</f>
        <v>#REF!</v>
      </c>
      <c r="H66" s="98" t="e">
        <f>#REF!+#REF!-#REF!</f>
        <v>#REF!</v>
      </c>
      <c r="I66" s="98" t="e">
        <f>#REF!+#REF!-#REF!</f>
        <v>#REF!</v>
      </c>
      <c r="J66" t="e">
        <f>#REF!+#REF!-#REF!</f>
        <v>#REF!</v>
      </c>
      <c r="K66" s="98" t="e">
        <f>#REF!+#REF!-#REF!</f>
        <v>#REF!</v>
      </c>
    </row>
    <row r="67" spans="1:11" ht="12.75">
      <c r="A67" s="98" t="e">
        <f>#REF!+#REF!-#REF!</f>
        <v>#REF!</v>
      </c>
      <c r="B67" s="98" t="e">
        <f>#REF!+#REF!-#REF!</f>
        <v>#REF!</v>
      </c>
      <c r="C67" s="98" t="e">
        <f>#REF!+#REF!-#REF!</f>
        <v>#REF!</v>
      </c>
      <c r="D67" s="98" t="e">
        <f>#REF!+#REF!-#REF!</f>
        <v>#REF!</v>
      </c>
      <c r="E67" s="98" t="e">
        <f>'2.8.Felúj.'!#REF!+'2.8.Felúj.'!#REF!-'2.8.Felúj.'!#REF!</f>
        <v>#REF!</v>
      </c>
      <c r="F67" s="98" t="e">
        <f>'2.5.Céltart'!#REF!+'2.5.Céltart'!#REF!-'2.5.Céltart'!#REF!</f>
        <v>#REF!</v>
      </c>
      <c r="G67" s="98" t="e">
        <f>#REF!+#REF!-#REF!</f>
        <v>#REF!</v>
      </c>
      <c r="H67" s="98" t="e">
        <f>#REF!+#REF!-#REF!</f>
        <v>#REF!</v>
      </c>
      <c r="I67" s="98" t="e">
        <f>#REF!+#REF!-#REF!</f>
        <v>#REF!</v>
      </c>
      <c r="J67" t="e">
        <f>#REF!+#REF!-#REF!</f>
        <v>#REF!</v>
      </c>
      <c r="K67" s="98" t="e">
        <f>#REF!+#REF!-#REF!</f>
        <v>#REF!</v>
      </c>
    </row>
    <row r="68" spans="1:11" ht="12.75">
      <c r="A68" s="98" t="e">
        <f>#REF!+#REF!-#REF!</f>
        <v>#REF!</v>
      </c>
      <c r="B68" s="98" t="e">
        <f>#REF!+#REF!-#REF!</f>
        <v>#REF!</v>
      </c>
      <c r="C68" s="98" t="e">
        <f>#REF!+#REF!-#REF!</f>
        <v>#REF!</v>
      </c>
      <c r="D68" s="98" t="e">
        <f>#REF!+#REF!-#REF!</f>
        <v>#REF!</v>
      </c>
      <c r="E68" s="98" t="e">
        <f>'2.8.Felúj.'!#REF!+'2.8.Felúj.'!#REF!-'2.8.Felúj.'!#REF!</f>
        <v>#REF!</v>
      </c>
      <c r="F68" s="98" t="e">
        <f>'2.5.Céltart'!#REF!+'2.5.Céltart'!#REF!-'2.5.Céltart'!#REF!</f>
        <v>#REF!</v>
      </c>
      <c r="G68" s="98" t="e">
        <f>#REF!+#REF!-#REF!</f>
        <v>#REF!</v>
      </c>
      <c r="H68" s="98" t="e">
        <f>#REF!+#REF!-#REF!</f>
        <v>#REF!</v>
      </c>
      <c r="I68" s="98" t="e">
        <f>#REF!+#REF!-#REF!</f>
        <v>#REF!</v>
      </c>
      <c r="J68" t="e">
        <f>#REF!+#REF!-#REF!</f>
        <v>#REF!</v>
      </c>
      <c r="K68" s="98" t="e">
        <f>#REF!+#REF!-#REF!</f>
        <v>#REF!</v>
      </c>
    </row>
    <row r="69" spans="1:11" ht="12.75">
      <c r="A69" s="98" t="e">
        <f>#REF!+#REF!-#REF!</f>
        <v>#REF!</v>
      </c>
      <c r="B69" s="98" t="e">
        <f>#REF!+#REF!-#REF!</f>
        <v>#REF!</v>
      </c>
      <c r="C69" s="98" t="e">
        <f>#REF!+#REF!-#REF!</f>
        <v>#REF!</v>
      </c>
      <c r="D69" s="98" t="e">
        <f>#REF!+#REF!-#REF!</f>
        <v>#REF!</v>
      </c>
      <c r="E69" s="98" t="e">
        <f>'2.8.Felúj.'!#REF!+'2.8.Felúj.'!#REF!-'2.8.Felúj.'!#REF!</f>
        <v>#REF!</v>
      </c>
      <c r="F69" s="98" t="e">
        <f>'2.5.Céltart'!#REF!+'2.5.Céltart'!#REF!-'2.5.Céltart'!#REF!</f>
        <v>#REF!</v>
      </c>
      <c r="G69" s="98" t="e">
        <f>#REF!+#REF!-#REF!</f>
        <v>#REF!</v>
      </c>
      <c r="H69" s="98" t="e">
        <f>#REF!+#REF!-#REF!</f>
        <v>#REF!</v>
      </c>
      <c r="I69" s="98" t="e">
        <f>#REF!+#REF!-#REF!</f>
        <v>#REF!</v>
      </c>
      <c r="J69" t="e">
        <f>#REF!+#REF!-#REF!</f>
        <v>#REF!</v>
      </c>
      <c r="K69" s="98" t="e">
        <f>#REF!+#REF!-#REF!</f>
        <v>#REF!</v>
      </c>
    </row>
    <row r="70" spans="1:11" ht="12.75">
      <c r="A70" s="98" t="e">
        <f>#REF!+#REF!-#REF!</f>
        <v>#REF!</v>
      </c>
      <c r="B70" s="98" t="e">
        <f>#REF!+#REF!-#REF!</f>
        <v>#REF!</v>
      </c>
      <c r="C70" s="98" t="e">
        <f>#REF!+#REF!-#REF!</f>
        <v>#REF!</v>
      </c>
      <c r="D70" s="98" t="e">
        <f>#REF!+#REF!-#REF!</f>
        <v>#REF!</v>
      </c>
      <c r="E70" s="98" t="e">
        <f>'2.8.Felúj.'!#REF!+'2.8.Felúj.'!#REF!-'2.8.Felúj.'!#REF!</f>
        <v>#REF!</v>
      </c>
      <c r="F70" s="98" t="e">
        <f>'2.5.Céltart'!#REF!+'2.5.Céltart'!#REF!-'2.5.Céltart'!#REF!</f>
        <v>#REF!</v>
      </c>
      <c r="G70" s="98" t="e">
        <f>#REF!+#REF!-#REF!</f>
        <v>#REF!</v>
      </c>
      <c r="H70" s="98" t="e">
        <f>#REF!+#REF!-#REF!</f>
        <v>#REF!</v>
      </c>
      <c r="I70" s="98" t="e">
        <f>#REF!+#REF!-#REF!</f>
        <v>#REF!</v>
      </c>
      <c r="J70" t="e">
        <f>#REF!+#REF!-#REF!</f>
        <v>#REF!</v>
      </c>
      <c r="K70" s="98" t="e">
        <f>#REF!+#REF!-#REF!</f>
        <v>#REF!</v>
      </c>
    </row>
    <row r="71" spans="1:11" ht="12.75">
      <c r="A71" s="98" t="e">
        <f>#REF!+#REF!-#REF!</f>
        <v>#REF!</v>
      </c>
      <c r="B71" s="98" t="e">
        <f>#REF!+#REF!-#REF!</f>
        <v>#REF!</v>
      </c>
      <c r="C71" s="98" t="e">
        <f>#REF!+#REF!-#REF!</f>
        <v>#REF!</v>
      </c>
      <c r="D71" s="98" t="e">
        <f>#REF!+#REF!-#REF!</f>
        <v>#REF!</v>
      </c>
      <c r="E71" s="98" t="e">
        <f>'2.8.Felúj.'!#REF!+'2.8.Felúj.'!#REF!-'2.8.Felúj.'!#REF!</f>
        <v>#REF!</v>
      </c>
      <c r="F71" s="98" t="e">
        <f>'2.5.Céltart'!#REF!+'2.5.Céltart'!#REF!-'2.5.Céltart'!#REF!</f>
        <v>#REF!</v>
      </c>
      <c r="G71" s="98" t="e">
        <f>#REF!+#REF!-#REF!</f>
        <v>#REF!</v>
      </c>
      <c r="H71" s="98" t="e">
        <f>#REF!+#REF!-#REF!</f>
        <v>#REF!</v>
      </c>
      <c r="I71" s="98" t="e">
        <f>#REF!+#REF!-#REF!</f>
        <v>#REF!</v>
      </c>
      <c r="J71" t="e">
        <f>#REF!+#REF!-#REF!</f>
        <v>#REF!</v>
      </c>
      <c r="K71" s="98" t="e">
        <f>#REF!+#REF!-#REF!</f>
        <v>#REF!</v>
      </c>
    </row>
    <row r="72" spans="1:11" ht="12.75">
      <c r="A72" s="98" t="e">
        <f>#REF!+#REF!-#REF!</f>
        <v>#REF!</v>
      </c>
      <c r="B72" s="98" t="e">
        <f>#REF!+#REF!-#REF!</f>
        <v>#REF!</v>
      </c>
      <c r="C72" s="98" t="e">
        <f>#REF!+#REF!-#REF!</f>
        <v>#REF!</v>
      </c>
      <c r="D72" s="98" t="e">
        <f>#REF!+#REF!-#REF!</f>
        <v>#REF!</v>
      </c>
      <c r="E72" s="98" t="e">
        <f>'2.8.Felúj.'!#REF!+'2.8.Felúj.'!#REF!-'2.8.Felúj.'!#REF!</f>
        <v>#REF!</v>
      </c>
      <c r="F72" s="98" t="e">
        <f>'2.5.Céltart'!#REF!+'2.5.Céltart'!#REF!-'2.5.Céltart'!#REF!</f>
        <v>#REF!</v>
      </c>
      <c r="G72" s="98" t="e">
        <f>#REF!+#REF!-#REF!</f>
        <v>#REF!</v>
      </c>
      <c r="H72" s="98" t="e">
        <f>#REF!+#REF!-#REF!</f>
        <v>#REF!</v>
      </c>
      <c r="I72" s="98" t="e">
        <f>#REF!+#REF!-#REF!</f>
        <v>#REF!</v>
      </c>
      <c r="J72" t="e">
        <f>#REF!+#REF!-#REF!</f>
        <v>#REF!</v>
      </c>
      <c r="K72" s="98" t="e">
        <f>#REF!+#REF!-#REF!</f>
        <v>#REF!</v>
      </c>
    </row>
    <row r="73" spans="1:11" ht="12.75">
      <c r="A73" s="98" t="e">
        <f>#REF!+#REF!-#REF!</f>
        <v>#REF!</v>
      </c>
      <c r="B73" s="98" t="e">
        <f>#REF!+#REF!-#REF!</f>
        <v>#REF!</v>
      </c>
      <c r="C73" s="98" t="e">
        <f>#REF!+#REF!-#REF!</f>
        <v>#REF!</v>
      </c>
      <c r="D73" s="98" t="e">
        <f>#REF!+#REF!-#REF!</f>
        <v>#REF!</v>
      </c>
      <c r="E73" s="98" t="e">
        <f>'2.8.Felúj.'!#REF!+'2.8.Felúj.'!#REF!-'2.8.Felúj.'!#REF!</f>
        <v>#REF!</v>
      </c>
      <c r="F73" s="98" t="e">
        <f>'2.5.Céltart'!#REF!+'2.5.Céltart'!#REF!-'2.5.Céltart'!#REF!</f>
        <v>#REF!</v>
      </c>
      <c r="G73" s="98" t="e">
        <f>#REF!+#REF!-#REF!</f>
        <v>#REF!</v>
      </c>
      <c r="H73" s="98" t="e">
        <f>#REF!+#REF!-#REF!</f>
        <v>#REF!</v>
      </c>
      <c r="I73" s="98" t="e">
        <f>#REF!+#REF!-#REF!</f>
        <v>#REF!</v>
      </c>
      <c r="J73" t="e">
        <f>#REF!+#REF!-#REF!</f>
        <v>#REF!</v>
      </c>
      <c r="K73" s="98" t="e">
        <f>#REF!+#REF!-#REF!</f>
        <v>#REF!</v>
      </c>
    </row>
    <row r="74" spans="1:11" ht="12.75">
      <c r="A74" s="98" t="e">
        <f>#REF!+#REF!-#REF!</f>
        <v>#REF!</v>
      </c>
      <c r="B74" s="98" t="e">
        <f>#REF!+#REF!-#REF!</f>
        <v>#REF!</v>
      </c>
      <c r="C74" s="98" t="e">
        <f>#REF!+#REF!-#REF!</f>
        <v>#REF!</v>
      </c>
      <c r="D74" s="98" t="e">
        <f>#REF!+#REF!-#REF!</f>
        <v>#REF!</v>
      </c>
      <c r="E74" s="98" t="e">
        <f>'2.8.Felúj.'!#REF!+'2.8.Felúj.'!#REF!-'2.8.Felúj.'!#REF!</f>
        <v>#REF!</v>
      </c>
      <c r="F74" s="98" t="e">
        <f>'2.5.Céltart'!#REF!+'2.5.Céltart'!#REF!-'2.5.Céltart'!#REF!</f>
        <v>#REF!</v>
      </c>
      <c r="G74" s="98" t="e">
        <f>#REF!+#REF!-#REF!</f>
        <v>#REF!</v>
      </c>
      <c r="H74" s="98" t="e">
        <f>#REF!+#REF!-#REF!</f>
        <v>#REF!</v>
      </c>
      <c r="I74" s="98" t="e">
        <f>#REF!+#REF!-#REF!</f>
        <v>#REF!</v>
      </c>
      <c r="J74" t="e">
        <f>#REF!+#REF!-#REF!</f>
        <v>#REF!</v>
      </c>
      <c r="K74" s="98" t="e">
        <f>#REF!+#REF!-#REF!</f>
        <v>#REF!</v>
      </c>
    </row>
    <row r="75" spans="1:11" ht="12.75">
      <c r="A75" s="98" t="e">
        <f>#REF!+#REF!-#REF!</f>
        <v>#REF!</v>
      </c>
      <c r="B75" s="98" t="e">
        <f>#REF!+#REF!-#REF!</f>
        <v>#REF!</v>
      </c>
      <c r="C75" s="98" t="e">
        <f>#REF!+#REF!-#REF!</f>
        <v>#REF!</v>
      </c>
      <c r="D75" s="98" t="e">
        <f>#REF!+#REF!-#REF!</f>
        <v>#REF!</v>
      </c>
      <c r="E75" s="98" t="e">
        <f>'2.8.Felúj.'!#REF!+'2.8.Felúj.'!#REF!-'2.8.Felúj.'!#REF!</f>
        <v>#REF!</v>
      </c>
      <c r="F75" s="98" t="e">
        <f>'2.5.Céltart'!#REF!+'2.5.Céltart'!#REF!-'2.5.Céltart'!#REF!</f>
        <v>#REF!</v>
      </c>
      <c r="G75" s="98" t="e">
        <f>#REF!+#REF!-#REF!</f>
        <v>#REF!</v>
      </c>
      <c r="H75" s="98" t="e">
        <f>#REF!+#REF!-#REF!</f>
        <v>#REF!</v>
      </c>
      <c r="I75" s="98" t="e">
        <f>#REF!+#REF!-#REF!</f>
        <v>#REF!</v>
      </c>
      <c r="J75" t="e">
        <f>#REF!+#REF!-#REF!</f>
        <v>#REF!</v>
      </c>
      <c r="K75" s="98" t="e">
        <f>#REF!+#REF!-#REF!</f>
        <v>#REF!</v>
      </c>
    </row>
    <row r="76" spans="1:11" ht="12.75">
      <c r="A76" s="98" t="e">
        <f>#REF!+#REF!-#REF!</f>
        <v>#REF!</v>
      </c>
      <c r="B76" s="98" t="e">
        <f>#REF!+#REF!-#REF!</f>
        <v>#REF!</v>
      </c>
      <c r="C76" s="98" t="e">
        <f>#REF!+#REF!-#REF!</f>
        <v>#REF!</v>
      </c>
      <c r="D76" s="98" t="e">
        <f>#REF!+#REF!-#REF!</f>
        <v>#REF!</v>
      </c>
      <c r="E76" s="98" t="e">
        <f>'2.8.Felúj.'!#REF!+'2.8.Felúj.'!#REF!-'2.8.Felúj.'!#REF!</f>
        <v>#REF!</v>
      </c>
      <c r="F76" s="98" t="e">
        <f>'2.5.Céltart'!#REF!+'2.5.Céltart'!#REF!-'2.5.Céltart'!#REF!</f>
        <v>#REF!</v>
      </c>
      <c r="G76" s="98" t="e">
        <f>#REF!+#REF!-#REF!</f>
        <v>#REF!</v>
      </c>
      <c r="H76" s="98" t="e">
        <f>#REF!+#REF!-#REF!</f>
        <v>#REF!</v>
      </c>
      <c r="I76" s="98" t="e">
        <f>#REF!+#REF!-#REF!</f>
        <v>#REF!</v>
      </c>
      <c r="J76" t="e">
        <f>#REF!+#REF!-#REF!</f>
        <v>#REF!</v>
      </c>
      <c r="K76" s="98" t="e">
        <f>#REF!+#REF!-#REF!</f>
        <v>#REF!</v>
      </c>
    </row>
    <row r="77" spans="1:11" ht="12.75">
      <c r="A77" s="98" t="e">
        <f>#REF!+#REF!-#REF!</f>
        <v>#REF!</v>
      </c>
      <c r="B77" s="98" t="e">
        <f>#REF!+#REF!-#REF!</f>
        <v>#REF!</v>
      </c>
      <c r="C77" s="98" t="e">
        <f>#REF!+#REF!-#REF!</f>
        <v>#REF!</v>
      </c>
      <c r="D77" s="98" t="e">
        <f>#REF!+#REF!-#REF!</f>
        <v>#REF!</v>
      </c>
      <c r="E77" s="98" t="e">
        <f>'2.8.Felúj.'!#REF!+'2.8.Felúj.'!#REF!-'2.8.Felúj.'!#REF!</f>
        <v>#REF!</v>
      </c>
      <c r="F77" s="98" t="e">
        <f>'2.5.Céltart'!#REF!+'2.5.Céltart'!#REF!-'2.5.Céltart'!#REF!</f>
        <v>#REF!</v>
      </c>
      <c r="G77" s="98" t="e">
        <f>#REF!+#REF!-#REF!</f>
        <v>#REF!</v>
      </c>
      <c r="H77" s="98" t="e">
        <f>#REF!+#REF!-#REF!</f>
        <v>#REF!</v>
      </c>
      <c r="I77" s="98" t="e">
        <f>#REF!+#REF!-#REF!</f>
        <v>#REF!</v>
      </c>
      <c r="J77" t="e">
        <f>#REF!+#REF!-#REF!</f>
        <v>#REF!</v>
      </c>
      <c r="K77" s="98" t="e">
        <f>#REF!+#REF!-#REF!</f>
        <v>#REF!</v>
      </c>
    </row>
    <row r="78" spans="1:11" ht="12.75">
      <c r="A78" s="98" t="e">
        <f>#REF!+#REF!-#REF!</f>
        <v>#REF!</v>
      </c>
      <c r="B78" s="98" t="e">
        <f>#REF!+#REF!-#REF!</f>
        <v>#REF!</v>
      </c>
      <c r="C78" s="98" t="e">
        <f>#REF!+#REF!-#REF!</f>
        <v>#REF!</v>
      </c>
      <c r="D78" s="98" t="e">
        <f>#REF!+#REF!-#REF!</f>
        <v>#REF!</v>
      </c>
      <c r="E78" s="98" t="e">
        <f>'2.8.Felúj.'!#REF!+'2.8.Felúj.'!#REF!-'2.8.Felúj.'!#REF!</f>
        <v>#REF!</v>
      </c>
      <c r="F78" s="98" t="e">
        <f>'2.5.Céltart'!#REF!+'2.5.Céltart'!#REF!-'2.5.Céltart'!#REF!</f>
        <v>#REF!</v>
      </c>
      <c r="G78" s="98" t="e">
        <f>#REF!+#REF!-#REF!</f>
        <v>#REF!</v>
      </c>
      <c r="H78" s="98" t="e">
        <f>#REF!+#REF!-#REF!</f>
        <v>#REF!</v>
      </c>
      <c r="I78" s="98" t="e">
        <f>#REF!+#REF!-#REF!</f>
        <v>#REF!</v>
      </c>
      <c r="J78" t="e">
        <f>#REF!+#REF!-#REF!</f>
        <v>#REF!</v>
      </c>
      <c r="K78" s="98" t="e">
        <f>#REF!+#REF!-#REF!</f>
        <v>#REF!</v>
      </c>
    </row>
    <row r="79" spans="1:11" ht="12.75">
      <c r="A79" s="98" t="e">
        <f>#REF!+#REF!-#REF!</f>
        <v>#REF!</v>
      </c>
      <c r="B79" s="98" t="e">
        <f>#REF!+#REF!-#REF!</f>
        <v>#REF!</v>
      </c>
      <c r="C79" s="98" t="e">
        <f>#REF!+#REF!-#REF!</f>
        <v>#REF!</v>
      </c>
      <c r="D79" s="98" t="e">
        <f>#REF!+#REF!-#REF!</f>
        <v>#REF!</v>
      </c>
      <c r="E79" s="98" t="e">
        <f>'2.8.Felúj.'!#REF!+'2.8.Felúj.'!#REF!-'2.8.Felúj.'!#REF!</f>
        <v>#REF!</v>
      </c>
      <c r="F79" s="98" t="e">
        <f>'2.5.Céltart'!#REF!+'2.5.Céltart'!#REF!-'2.5.Céltart'!#REF!</f>
        <v>#REF!</v>
      </c>
      <c r="G79" s="98" t="e">
        <f>#REF!+#REF!-#REF!</f>
        <v>#REF!</v>
      </c>
      <c r="H79" s="98" t="e">
        <f>#REF!+#REF!-#REF!</f>
        <v>#REF!</v>
      </c>
      <c r="I79" s="98" t="e">
        <f>#REF!+#REF!-#REF!</f>
        <v>#REF!</v>
      </c>
      <c r="J79" t="e">
        <f>#REF!+#REF!-#REF!</f>
        <v>#REF!</v>
      </c>
      <c r="K79" s="98" t="e">
        <f>#REF!+#REF!-#REF!</f>
        <v>#REF!</v>
      </c>
    </row>
    <row r="80" spans="1:11" ht="12.75">
      <c r="A80" s="98" t="e">
        <f>#REF!+#REF!-#REF!</f>
        <v>#REF!</v>
      </c>
      <c r="B80" s="98" t="e">
        <f>#REF!+#REF!-#REF!</f>
        <v>#REF!</v>
      </c>
      <c r="C80" s="98" t="e">
        <f>#REF!+#REF!-#REF!</f>
        <v>#REF!</v>
      </c>
      <c r="D80" s="98" t="e">
        <f>#REF!+#REF!-#REF!</f>
        <v>#REF!</v>
      </c>
      <c r="E80" s="98" t="e">
        <f>'2.8.Felúj.'!#REF!+'2.8.Felúj.'!#REF!-'2.8.Felúj.'!#REF!</f>
        <v>#REF!</v>
      </c>
      <c r="F80" s="98" t="e">
        <f>'2.5.Céltart'!#REF!+'2.5.Céltart'!#REF!-'2.5.Céltart'!#REF!</f>
        <v>#REF!</v>
      </c>
      <c r="G80" s="98" t="e">
        <f>#REF!+#REF!-#REF!</f>
        <v>#REF!</v>
      </c>
      <c r="H80" s="98" t="e">
        <f>#REF!+#REF!-#REF!</f>
        <v>#REF!</v>
      </c>
      <c r="I80" s="98" t="e">
        <f>#REF!+#REF!-#REF!</f>
        <v>#REF!</v>
      </c>
      <c r="J80" t="e">
        <f>#REF!+#REF!-#REF!</f>
        <v>#REF!</v>
      </c>
      <c r="K80" s="98" t="e">
        <f>#REF!+#REF!-#REF!</f>
        <v>#REF!</v>
      </c>
    </row>
    <row r="81" spans="1:11" ht="12.75">
      <c r="A81" s="98" t="e">
        <f>#REF!+#REF!-#REF!</f>
        <v>#REF!</v>
      </c>
      <c r="B81" s="98" t="e">
        <f>#REF!+#REF!-#REF!</f>
        <v>#REF!</v>
      </c>
      <c r="C81" s="98" t="e">
        <f>#REF!+#REF!-#REF!</f>
        <v>#REF!</v>
      </c>
      <c r="D81" s="98" t="e">
        <f>#REF!+#REF!-#REF!</f>
        <v>#REF!</v>
      </c>
      <c r="E81" s="98" t="e">
        <f>'2.8.Felúj.'!#REF!+'2.8.Felúj.'!#REF!-'2.8.Felúj.'!#REF!</f>
        <v>#REF!</v>
      </c>
      <c r="F81" s="98" t="e">
        <f>'2.5.Céltart'!#REF!+'2.5.Céltart'!#REF!-'2.5.Céltart'!#REF!</f>
        <v>#REF!</v>
      </c>
      <c r="G81" s="98" t="e">
        <f>#REF!+#REF!-#REF!</f>
        <v>#REF!</v>
      </c>
      <c r="H81" s="98" t="e">
        <f>#REF!+#REF!-#REF!</f>
        <v>#REF!</v>
      </c>
      <c r="I81" s="98" t="e">
        <f>#REF!+#REF!-#REF!</f>
        <v>#REF!</v>
      </c>
      <c r="J81" t="e">
        <f>#REF!+#REF!-#REF!</f>
        <v>#REF!</v>
      </c>
      <c r="K81" s="98" t="e">
        <f>#REF!+#REF!-#REF!</f>
        <v>#REF!</v>
      </c>
    </row>
    <row r="82" spans="1:11" ht="12.75">
      <c r="A82" s="98" t="e">
        <f>#REF!+#REF!-#REF!</f>
        <v>#REF!</v>
      </c>
      <c r="B82" s="98" t="e">
        <f>#REF!+#REF!-#REF!</f>
        <v>#REF!</v>
      </c>
      <c r="C82" s="98" t="e">
        <f>#REF!+#REF!-#REF!</f>
        <v>#REF!</v>
      </c>
      <c r="D82" s="98" t="e">
        <f>#REF!+#REF!-#REF!</f>
        <v>#REF!</v>
      </c>
      <c r="E82" s="98" t="e">
        <f>'2.8.Felúj.'!#REF!+'2.8.Felúj.'!#REF!-'2.8.Felúj.'!#REF!</f>
        <v>#REF!</v>
      </c>
      <c r="F82" s="98" t="e">
        <f>'2.5.Céltart'!#REF!+'2.5.Céltart'!#REF!-'2.5.Céltart'!#REF!</f>
        <v>#REF!</v>
      </c>
      <c r="G82" s="98" t="e">
        <f>#REF!+#REF!-#REF!</f>
        <v>#REF!</v>
      </c>
      <c r="H82" s="98" t="e">
        <f>#REF!+#REF!-#REF!</f>
        <v>#REF!</v>
      </c>
      <c r="I82" s="98" t="e">
        <f>#REF!+#REF!-#REF!</f>
        <v>#REF!</v>
      </c>
      <c r="J82" t="e">
        <f>#REF!+#REF!-#REF!</f>
        <v>#REF!</v>
      </c>
      <c r="K82" s="98" t="e">
        <f>#REF!+#REF!-#REF!</f>
        <v>#REF!</v>
      </c>
    </row>
    <row r="83" spans="1:11" ht="12.75">
      <c r="A83" s="98" t="e">
        <f>#REF!+#REF!-#REF!</f>
        <v>#REF!</v>
      </c>
      <c r="B83" s="98" t="e">
        <f>#REF!+#REF!-#REF!</f>
        <v>#REF!</v>
      </c>
      <c r="C83" s="98" t="e">
        <f>#REF!+#REF!-#REF!</f>
        <v>#REF!</v>
      </c>
      <c r="D83" s="98" t="e">
        <f>#REF!+#REF!-#REF!</f>
        <v>#REF!</v>
      </c>
      <c r="E83" s="98" t="e">
        <f>'2.8.Felúj.'!#REF!+'2.8.Felúj.'!#REF!-'2.8.Felúj.'!#REF!</f>
        <v>#REF!</v>
      </c>
      <c r="F83" s="98" t="e">
        <f>'2.5.Céltart'!#REF!+'2.5.Céltart'!#REF!-'2.5.Céltart'!#REF!</f>
        <v>#REF!</v>
      </c>
      <c r="G83" s="98" t="e">
        <f>#REF!+#REF!-#REF!</f>
        <v>#REF!</v>
      </c>
      <c r="H83" s="98" t="e">
        <f>#REF!+#REF!-#REF!</f>
        <v>#REF!</v>
      </c>
      <c r="I83" s="98" t="e">
        <f>#REF!+#REF!-#REF!</f>
        <v>#REF!</v>
      </c>
      <c r="J83" t="e">
        <f>#REF!+#REF!-#REF!</f>
        <v>#REF!</v>
      </c>
      <c r="K83" s="98" t="e">
        <f>#REF!+#REF!-#REF!</f>
        <v>#REF!</v>
      </c>
    </row>
    <row r="84" spans="1:11" ht="12.75">
      <c r="A84" s="98" t="e">
        <f>#REF!+#REF!-#REF!</f>
        <v>#REF!</v>
      </c>
      <c r="B84" s="98" t="e">
        <f>#REF!+#REF!-#REF!</f>
        <v>#REF!</v>
      </c>
      <c r="C84" s="98" t="e">
        <f>#REF!+#REF!-#REF!</f>
        <v>#REF!</v>
      </c>
      <c r="D84" s="98" t="e">
        <f>#REF!+#REF!-#REF!</f>
        <v>#REF!</v>
      </c>
      <c r="E84" s="98" t="e">
        <f>'2.8.Felúj.'!#REF!+'2.8.Felúj.'!#REF!-'2.8.Felúj.'!#REF!</f>
        <v>#REF!</v>
      </c>
      <c r="F84" s="98" t="e">
        <f>'2.5.Céltart'!#REF!+'2.5.Céltart'!#REF!-'2.5.Céltart'!#REF!</f>
        <v>#REF!</v>
      </c>
      <c r="G84" s="98" t="e">
        <f>#REF!+#REF!-#REF!</f>
        <v>#REF!</v>
      </c>
      <c r="H84" s="98" t="e">
        <f>#REF!+#REF!-#REF!</f>
        <v>#REF!</v>
      </c>
      <c r="I84" s="98" t="e">
        <f>#REF!+#REF!-#REF!</f>
        <v>#REF!</v>
      </c>
      <c r="J84" t="e">
        <f>#REF!+#REF!-#REF!</f>
        <v>#REF!</v>
      </c>
      <c r="K84" s="98" t="e">
        <f>#REF!+#REF!-#REF!</f>
        <v>#REF!</v>
      </c>
    </row>
    <row r="85" spans="1:11" ht="12.75">
      <c r="A85" s="98" t="e">
        <f>#REF!+#REF!-#REF!</f>
        <v>#REF!</v>
      </c>
      <c r="B85" s="98" t="e">
        <f>#REF!+#REF!-#REF!</f>
        <v>#REF!</v>
      </c>
      <c r="C85" s="98" t="e">
        <f>#REF!+#REF!-#REF!</f>
        <v>#REF!</v>
      </c>
      <c r="D85" s="98" t="e">
        <f>#REF!+#REF!-#REF!</f>
        <v>#REF!</v>
      </c>
      <c r="E85" s="98" t="e">
        <f>'2.8.Felúj.'!#REF!+'2.8.Felúj.'!#REF!-'2.8.Felúj.'!#REF!</f>
        <v>#REF!</v>
      </c>
      <c r="F85" s="98" t="e">
        <f>'2.5.Céltart'!#REF!+'2.5.Céltart'!#REF!-'2.5.Céltart'!#REF!</f>
        <v>#REF!</v>
      </c>
      <c r="G85" s="98" t="e">
        <f>#REF!+#REF!-#REF!</f>
        <v>#REF!</v>
      </c>
      <c r="H85" s="98" t="e">
        <f>#REF!+#REF!-#REF!</f>
        <v>#REF!</v>
      </c>
      <c r="I85" s="98" t="e">
        <f>#REF!+#REF!-#REF!</f>
        <v>#REF!</v>
      </c>
      <c r="J85" t="e">
        <f>#REF!+#REF!-#REF!</f>
        <v>#REF!</v>
      </c>
      <c r="K85" s="98" t="e">
        <f>#REF!+#REF!-#REF!</f>
        <v>#REF!</v>
      </c>
    </row>
    <row r="86" spans="1:11" ht="12.75">
      <c r="A86" s="98" t="e">
        <f>#REF!+#REF!-#REF!</f>
        <v>#REF!</v>
      </c>
      <c r="B86" s="98" t="e">
        <f>#REF!+#REF!-#REF!</f>
        <v>#REF!</v>
      </c>
      <c r="C86" s="98" t="e">
        <f>#REF!+#REF!-#REF!</f>
        <v>#REF!</v>
      </c>
      <c r="D86" s="98" t="e">
        <f>#REF!+#REF!-#REF!</f>
        <v>#REF!</v>
      </c>
      <c r="E86" s="98" t="e">
        <f>'2.8.Felúj.'!#REF!+'2.8.Felúj.'!#REF!-'2.8.Felúj.'!#REF!</f>
        <v>#REF!</v>
      </c>
      <c r="F86" s="98" t="e">
        <f>'2.5.Céltart'!#REF!+'2.5.Céltart'!#REF!-'2.5.Céltart'!#REF!</f>
        <v>#REF!</v>
      </c>
      <c r="G86" s="98" t="e">
        <f>#REF!+#REF!-#REF!</f>
        <v>#REF!</v>
      </c>
      <c r="H86" s="98" t="e">
        <f>#REF!+#REF!-#REF!</f>
        <v>#REF!</v>
      </c>
      <c r="I86" s="98" t="e">
        <f>#REF!+#REF!-#REF!</f>
        <v>#REF!</v>
      </c>
      <c r="J86" t="e">
        <f>#REF!+#REF!-#REF!</f>
        <v>#REF!</v>
      </c>
      <c r="K86" s="98" t="e">
        <f>#REF!+#REF!-#REF!</f>
        <v>#REF!</v>
      </c>
    </row>
    <row r="87" spans="1:11" ht="12.75">
      <c r="A87" s="98" t="e">
        <f>#REF!+#REF!-#REF!</f>
        <v>#REF!</v>
      </c>
      <c r="B87" s="98" t="e">
        <f>#REF!+#REF!-#REF!</f>
        <v>#REF!</v>
      </c>
      <c r="C87" s="98" t="e">
        <f>#REF!+#REF!-#REF!</f>
        <v>#REF!</v>
      </c>
      <c r="D87" s="98" t="e">
        <f>#REF!+#REF!-#REF!</f>
        <v>#REF!</v>
      </c>
      <c r="E87" s="98" t="e">
        <f>'2.8.Felúj.'!#REF!+'2.8.Felúj.'!#REF!-'2.8.Felúj.'!#REF!</f>
        <v>#REF!</v>
      </c>
      <c r="F87" s="98" t="e">
        <f>'2.5.Céltart'!#REF!+'2.5.Céltart'!#REF!-'2.5.Céltart'!#REF!</f>
        <v>#REF!</v>
      </c>
      <c r="G87" s="98" t="e">
        <f>#REF!+#REF!-#REF!</f>
        <v>#REF!</v>
      </c>
      <c r="H87" s="98" t="e">
        <f>#REF!+#REF!-#REF!</f>
        <v>#REF!</v>
      </c>
      <c r="I87" s="98" t="e">
        <f>#REF!+#REF!-#REF!</f>
        <v>#REF!</v>
      </c>
      <c r="J87" t="e">
        <f>#REF!+#REF!-#REF!</f>
        <v>#REF!</v>
      </c>
      <c r="K87" s="98" t="e">
        <f>#REF!+#REF!-#REF!</f>
        <v>#REF!</v>
      </c>
    </row>
    <row r="88" spans="1:11" ht="12.75">
      <c r="A88" s="98" t="e">
        <f>#REF!+#REF!-#REF!</f>
        <v>#REF!</v>
      </c>
      <c r="B88" s="98" t="e">
        <f>#REF!+#REF!-#REF!</f>
        <v>#REF!</v>
      </c>
      <c r="C88" s="98" t="e">
        <f>#REF!+#REF!-#REF!</f>
        <v>#REF!</v>
      </c>
      <c r="D88" s="98" t="e">
        <f>#REF!+#REF!-#REF!</f>
        <v>#REF!</v>
      </c>
      <c r="E88" s="98" t="e">
        <f>'2.8.Felúj.'!#REF!+'2.8.Felúj.'!#REF!-'2.8.Felúj.'!#REF!</f>
        <v>#REF!</v>
      </c>
      <c r="F88" s="98" t="e">
        <f>'2.5.Céltart'!#REF!+'2.5.Céltart'!#REF!-'2.5.Céltart'!#REF!</f>
        <v>#REF!</v>
      </c>
      <c r="G88" s="98" t="e">
        <f>#REF!+#REF!-#REF!</f>
        <v>#REF!</v>
      </c>
      <c r="H88" s="98" t="e">
        <f>#REF!+#REF!-#REF!</f>
        <v>#REF!</v>
      </c>
      <c r="I88" s="98" t="e">
        <f>#REF!+#REF!-#REF!</f>
        <v>#REF!</v>
      </c>
      <c r="J88" t="e">
        <f>#REF!+#REF!-#REF!</f>
        <v>#REF!</v>
      </c>
      <c r="K88" s="98" t="e">
        <f>#REF!+#REF!-#REF!</f>
        <v>#REF!</v>
      </c>
    </row>
    <row r="89" spans="1:11" ht="12.75">
      <c r="A89" s="98" t="e">
        <f>#REF!+#REF!-#REF!</f>
        <v>#REF!</v>
      </c>
      <c r="B89" s="98" t="e">
        <f>#REF!+#REF!-#REF!</f>
        <v>#REF!</v>
      </c>
      <c r="C89" s="98" t="e">
        <f>#REF!+#REF!-#REF!</f>
        <v>#REF!</v>
      </c>
      <c r="D89" s="98" t="e">
        <f>#REF!+#REF!-#REF!</f>
        <v>#REF!</v>
      </c>
      <c r="E89" s="98" t="e">
        <f>'2.8.Felúj.'!#REF!+'2.8.Felúj.'!#REF!-'2.8.Felúj.'!#REF!</f>
        <v>#REF!</v>
      </c>
      <c r="F89" s="98" t="e">
        <f>'2.5.Céltart'!#REF!+'2.5.Céltart'!#REF!-'2.5.Céltart'!#REF!</f>
        <v>#REF!</v>
      </c>
      <c r="G89" s="98" t="e">
        <f>#REF!+#REF!-#REF!</f>
        <v>#REF!</v>
      </c>
      <c r="H89" s="98" t="e">
        <f>#REF!+#REF!-#REF!</f>
        <v>#REF!</v>
      </c>
      <c r="I89" s="98" t="e">
        <f>#REF!+#REF!-#REF!</f>
        <v>#REF!</v>
      </c>
      <c r="J89" t="e">
        <f>#REF!+#REF!-#REF!</f>
        <v>#REF!</v>
      </c>
      <c r="K89" s="98" t="e">
        <f>#REF!+#REF!-#REF!</f>
        <v>#REF!</v>
      </c>
    </row>
    <row r="90" spans="1:11" ht="12.75">
      <c r="A90" s="98" t="e">
        <f>#REF!+#REF!-#REF!</f>
        <v>#REF!</v>
      </c>
      <c r="B90" s="98" t="e">
        <f>#REF!+#REF!-#REF!</f>
        <v>#REF!</v>
      </c>
      <c r="C90" s="98" t="e">
        <f>#REF!+#REF!-#REF!</f>
        <v>#REF!</v>
      </c>
      <c r="D90" s="98" t="e">
        <f>#REF!+#REF!-#REF!</f>
        <v>#REF!</v>
      </c>
      <c r="E90" s="98" t="e">
        <f>'2.8.Felúj.'!#REF!+'2.8.Felúj.'!#REF!-'2.8.Felúj.'!#REF!</f>
        <v>#REF!</v>
      </c>
      <c r="F90" s="98" t="e">
        <f>'2.5.Céltart'!#REF!+'2.5.Céltart'!#REF!-'2.5.Céltart'!#REF!</f>
        <v>#REF!</v>
      </c>
      <c r="G90" s="98" t="e">
        <f>#REF!+#REF!-#REF!</f>
        <v>#REF!</v>
      </c>
      <c r="H90" s="98" t="e">
        <f>#REF!+#REF!-#REF!</f>
        <v>#REF!</v>
      </c>
      <c r="I90" s="98" t="e">
        <f>#REF!+#REF!-#REF!</f>
        <v>#REF!</v>
      </c>
      <c r="J90" t="e">
        <f>#REF!+#REF!-#REF!</f>
        <v>#REF!</v>
      </c>
      <c r="K90" s="98" t="e">
        <f>#REF!+#REF!-#REF!</f>
        <v>#REF!</v>
      </c>
    </row>
    <row r="91" spans="1:11" ht="12.75">
      <c r="A91" s="98" t="e">
        <f>#REF!+#REF!-#REF!</f>
        <v>#REF!</v>
      </c>
      <c r="B91" s="98" t="e">
        <f>#REF!+#REF!-#REF!</f>
        <v>#REF!</v>
      </c>
      <c r="C91" s="98" t="e">
        <f>#REF!+#REF!-#REF!</f>
        <v>#REF!</v>
      </c>
      <c r="D91" s="98" t="e">
        <f>#REF!+#REF!-#REF!</f>
        <v>#REF!</v>
      </c>
      <c r="E91" s="98" t="e">
        <f>'2.8.Felúj.'!#REF!+'2.8.Felúj.'!#REF!-'2.8.Felúj.'!#REF!</f>
        <v>#REF!</v>
      </c>
      <c r="F91" s="98" t="e">
        <f>'2.5.Céltart'!#REF!+'2.5.Céltart'!#REF!-'2.5.Céltart'!#REF!</f>
        <v>#REF!</v>
      </c>
      <c r="G91" s="98" t="e">
        <f>#REF!+#REF!-#REF!</f>
        <v>#REF!</v>
      </c>
      <c r="H91" s="98" t="e">
        <f>#REF!+#REF!-#REF!</f>
        <v>#REF!</v>
      </c>
      <c r="I91" s="98" t="e">
        <f>#REF!+#REF!-#REF!</f>
        <v>#REF!</v>
      </c>
      <c r="J91" t="e">
        <f>#REF!+#REF!-#REF!</f>
        <v>#REF!</v>
      </c>
      <c r="K91" s="98" t="e">
        <f>#REF!+#REF!-#REF!</f>
        <v>#REF!</v>
      </c>
    </row>
    <row r="92" spans="1:11" ht="12.75">
      <c r="A92" s="98" t="e">
        <f>#REF!+#REF!-#REF!</f>
        <v>#REF!</v>
      </c>
      <c r="B92" s="98" t="e">
        <f>#REF!+#REF!-#REF!</f>
        <v>#REF!</v>
      </c>
      <c r="C92" s="98" t="e">
        <f>#REF!+#REF!-#REF!</f>
        <v>#REF!</v>
      </c>
      <c r="D92" s="98" t="e">
        <f>#REF!+#REF!-#REF!</f>
        <v>#REF!</v>
      </c>
      <c r="E92" s="98" t="e">
        <f>'2.8.Felúj.'!#REF!+'2.8.Felúj.'!#REF!-'2.8.Felúj.'!#REF!</f>
        <v>#REF!</v>
      </c>
      <c r="F92" s="98" t="e">
        <f>'2.5.Céltart'!#REF!+'2.5.Céltart'!#REF!-'2.5.Céltart'!#REF!</f>
        <v>#REF!</v>
      </c>
      <c r="G92" s="98" t="e">
        <f>#REF!+#REF!-#REF!</f>
        <v>#REF!</v>
      </c>
      <c r="H92" s="98" t="e">
        <f>#REF!+#REF!-#REF!</f>
        <v>#REF!</v>
      </c>
      <c r="I92" s="98" t="e">
        <f>#REF!+#REF!-#REF!</f>
        <v>#REF!</v>
      </c>
      <c r="J92" t="e">
        <f>#REF!+#REF!-#REF!</f>
        <v>#REF!</v>
      </c>
      <c r="K92" s="98" t="e">
        <f>#REF!+#REF!-#REF!</f>
        <v>#REF!</v>
      </c>
    </row>
    <row r="93" spans="1:11" ht="12.75">
      <c r="A93" s="98" t="e">
        <f>#REF!+#REF!-#REF!</f>
        <v>#REF!</v>
      </c>
      <c r="B93" s="98" t="e">
        <f>#REF!+#REF!-#REF!</f>
        <v>#REF!</v>
      </c>
      <c r="C93" s="98" t="e">
        <f>#REF!+#REF!-#REF!</f>
        <v>#REF!</v>
      </c>
      <c r="D93" s="98" t="e">
        <f>#REF!+#REF!-#REF!</f>
        <v>#REF!</v>
      </c>
      <c r="E93" s="98" t="e">
        <f>'2.8.Felúj.'!#REF!+'2.8.Felúj.'!#REF!-'2.8.Felúj.'!#REF!</f>
        <v>#REF!</v>
      </c>
      <c r="F93" s="98" t="e">
        <f>'2.5.Céltart'!#REF!+'2.5.Céltart'!#REF!-'2.5.Céltart'!#REF!</f>
        <v>#REF!</v>
      </c>
      <c r="G93" s="98" t="e">
        <f>#REF!+#REF!-#REF!</f>
        <v>#REF!</v>
      </c>
      <c r="H93" s="98" t="e">
        <f>#REF!+#REF!-#REF!</f>
        <v>#REF!</v>
      </c>
      <c r="I93" s="98" t="e">
        <f>#REF!+#REF!-#REF!</f>
        <v>#REF!</v>
      </c>
      <c r="J93" t="e">
        <f>#REF!+#REF!-#REF!</f>
        <v>#REF!</v>
      </c>
      <c r="K93" s="98" t="e">
        <f>#REF!+#REF!-#REF!</f>
        <v>#REF!</v>
      </c>
    </row>
    <row r="94" spans="1:11" ht="12.75">
      <c r="A94" s="98" t="e">
        <f>#REF!+#REF!-#REF!</f>
        <v>#REF!</v>
      </c>
      <c r="B94" s="98" t="e">
        <f>#REF!+#REF!-#REF!</f>
        <v>#REF!</v>
      </c>
      <c r="C94" s="98" t="e">
        <f>#REF!+#REF!-#REF!</f>
        <v>#REF!</v>
      </c>
      <c r="D94" s="98" t="e">
        <f>#REF!+#REF!-#REF!</f>
        <v>#REF!</v>
      </c>
      <c r="E94" s="98" t="e">
        <f>'2.8.Felúj.'!#REF!+'2.8.Felúj.'!#REF!-'2.8.Felúj.'!#REF!</f>
        <v>#REF!</v>
      </c>
      <c r="F94" s="98" t="e">
        <f>'2.5.Céltart'!#REF!+'2.5.Céltart'!#REF!-'2.5.Céltart'!#REF!</f>
        <v>#REF!</v>
      </c>
      <c r="G94" s="98" t="e">
        <f>#REF!+#REF!-#REF!</f>
        <v>#REF!</v>
      </c>
      <c r="H94" s="98" t="e">
        <f>#REF!+#REF!-#REF!</f>
        <v>#REF!</v>
      </c>
      <c r="I94" s="98" t="e">
        <f>#REF!+#REF!-#REF!</f>
        <v>#REF!</v>
      </c>
      <c r="J94" t="e">
        <f>#REF!+#REF!-#REF!</f>
        <v>#REF!</v>
      </c>
      <c r="K94" s="98" t="e">
        <f>#REF!+#REF!-#REF!</f>
        <v>#REF!</v>
      </c>
    </row>
    <row r="95" spans="1:11" ht="12.75">
      <c r="A95" s="98" t="e">
        <f>#REF!+#REF!-#REF!</f>
        <v>#REF!</v>
      </c>
      <c r="B95" s="98" t="e">
        <f>#REF!+#REF!-#REF!</f>
        <v>#REF!</v>
      </c>
      <c r="C95" s="98" t="e">
        <f>#REF!+#REF!-#REF!</f>
        <v>#REF!</v>
      </c>
      <c r="D95" s="98" t="e">
        <f>#REF!+#REF!-#REF!</f>
        <v>#REF!</v>
      </c>
      <c r="E95" s="98" t="e">
        <f>'2.8.Felúj.'!#REF!+'2.8.Felúj.'!#REF!-'2.8.Felúj.'!#REF!</f>
        <v>#REF!</v>
      </c>
      <c r="F95" s="98" t="e">
        <f>'2.5.Céltart'!#REF!+'2.5.Céltart'!#REF!-'2.5.Céltart'!#REF!</f>
        <v>#REF!</v>
      </c>
      <c r="G95" s="98" t="e">
        <f>#REF!+#REF!-#REF!</f>
        <v>#REF!</v>
      </c>
      <c r="H95" s="98" t="e">
        <f>#REF!+#REF!-#REF!</f>
        <v>#REF!</v>
      </c>
      <c r="I95" s="98" t="e">
        <f>#REF!+#REF!-#REF!</f>
        <v>#REF!</v>
      </c>
      <c r="J95" t="e">
        <f>#REF!+#REF!-#REF!</f>
        <v>#REF!</v>
      </c>
      <c r="K95" s="98" t="e">
        <f>#REF!+#REF!-#REF!</f>
        <v>#REF!</v>
      </c>
    </row>
    <row r="96" spans="1:11" ht="12.75">
      <c r="A96" s="98" t="e">
        <f>#REF!+#REF!-#REF!</f>
        <v>#REF!</v>
      </c>
      <c r="B96" s="98" t="e">
        <f>#REF!+#REF!-#REF!</f>
        <v>#REF!</v>
      </c>
      <c r="C96" s="98" t="e">
        <f>#REF!+#REF!-#REF!</f>
        <v>#REF!</v>
      </c>
      <c r="D96" s="98" t="e">
        <f>#REF!+#REF!-#REF!</f>
        <v>#REF!</v>
      </c>
      <c r="E96" s="98" t="e">
        <f>'2.8.Felúj.'!#REF!+'2.8.Felúj.'!#REF!-'2.8.Felúj.'!#REF!</f>
        <v>#REF!</v>
      </c>
      <c r="F96" s="98" t="e">
        <f>'2.5.Céltart'!#REF!+'2.5.Céltart'!#REF!-'2.5.Céltart'!#REF!</f>
        <v>#REF!</v>
      </c>
      <c r="G96" s="98" t="e">
        <f>#REF!+#REF!-#REF!</f>
        <v>#REF!</v>
      </c>
      <c r="H96" s="98" t="e">
        <f>#REF!+#REF!-#REF!</f>
        <v>#REF!</v>
      </c>
      <c r="I96" s="98" t="e">
        <f>#REF!+#REF!-#REF!</f>
        <v>#REF!</v>
      </c>
      <c r="J96" t="e">
        <f>#REF!+#REF!-#REF!</f>
        <v>#REF!</v>
      </c>
      <c r="K96" s="98" t="e">
        <f>#REF!+#REF!-#REF!</f>
        <v>#REF!</v>
      </c>
    </row>
    <row r="97" spans="1:11" ht="12.75">
      <c r="A97" s="98" t="e">
        <f>#REF!+#REF!-#REF!</f>
        <v>#REF!</v>
      </c>
      <c r="B97" s="98" t="e">
        <f>#REF!+#REF!-#REF!</f>
        <v>#REF!</v>
      </c>
      <c r="C97" s="98" t="e">
        <f>#REF!+#REF!-#REF!</f>
        <v>#REF!</v>
      </c>
      <c r="D97" s="98" t="e">
        <f>#REF!+#REF!-#REF!</f>
        <v>#REF!</v>
      </c>
      <c r="E97" s="98" t="e">
        <f>'2.8.Felúj.'!#REF!+'2.8.Felúj.'!#REF!-'2.8.Felúj.'!#REF!</f>
        <v>#REF!</v>
      </c>
      <c r="F97" s="98" t="e">
        <f>'2.5.Céltart'!#REF!+'2.5.Céltart'!#REF!-'2.5.Céltart'!#REF!</f>
        <v>#REF!</v>
      </c>
      <c r="G97" s="98" t="e">
        <f>#REF!+#REF!-#REF!</f>
        <v>#REF!</v>
      </c>
      <c r="H97" s="98" t="e">
        <f>#REF!+#REF!-#REF!</f>
        <v>#REF!</v>
      </c>
      <c r="I97" s="98" t="e">
        <f>#REF!+#REF!-#REF!</f>
        <v>#REF!</v>
      </c>
      <c r="J97" t="e">
        <f>#REF!+#REF!-#REF!</f>
        <v>#REF!</v>
      </c>
      <c r="K97" s="98" t="e">
        <f>#REF!+#REF!-#REF!</f>
        <v>#REF!</v>
      </c>
    </row>
    <row r="98" spans="1:11" ht="12.75">
      <c r="A98" s="98" t="e">
        <f>#REF!+#REF!-#REF!</f>
        <v>#REF!</v>
      </c>
      <c r="B98" s="98" t="e">
        <f>#REF!+#REF!-#REF!</f>
        <v>#REF!</v>
      </c>
      <c r="C98" s="98" t="e">
        <f>#REF!+#REF!-#REF!</f>
        <v>#REF!</v>
      </c>
      <c r="D98" s="98" t="e">
        <f>#REF!+#REF!-#REF!</f>
        <v>#REF!</v>
      </c>
      <c r="E98" s="98" t="e">
        <f>'2.8.Felúj.'!#REF!+'2.8.Felúj.'!#REF!-'2.8.Felúj.'!#REF!</f>
        <v>#REF!</v>
      </c>
      <c r="F98" s="98" t="e">
        <f>'2.5.Céltart'!#REF!+'2.5.Céltart'!#REF!-'2.5.Céltart'!#REF!</f>
        <v>#REF!</v>
      </c>
      <c r="G98" s="98" t="e">
        <f>#REF!+#REF!-#REF!</f>
        <v>#REF!</v>
      </c>
      <c r="H98" s="98" t="e">
        <f>#REF!+#REF!-#REF!</f>
        <v>#REF!</v>
      </c>
      <c r="I98" s="98" t="e">
        <f>#REF!+#REF!-#REF!</f>
        <v>#REF!</v>
      </c>
      <c r="J98" t="e">
        <f>#REF!+#REF!-#REF!</f>
        <v>#REF!</v>
      </c>
      <c r="K98" s="98" t="e">
        <f>#REF!+#REF!-#REF!</f>
        <v>#REF!</v>
      </c>
    </row>
    <row r="99" spans="1:11" ht="12.75">
      <c r="A99" s="98" t="e">
        <f>#REF!+#REF!-#REF!</f>
        <v>#REF!</v>
      </c>
      <c r="B99" s="98" t="e">
        <f>#REF!+#REF!-#REF!</f>
        <v>#REF!</v>
      </c>
      <c r="C99" s="98" t="e">
        <f>#REF!+#REF!-#REF!</f>
        <v>#REF!</v>
      </c>
      <c r="D99" s="98" t="e">
        <f>#REF!+#REF!-#REF!</f>
        <v>#REF!</v>
      </c>
      <c r="E99" s="98" t="e">
        <f>'2.8.Felúj.'!#REF!+'2.8.Felúj.'!#REF!-'2.8.Felúj.'!#REF!</f>
        <v>#REF!</v>
      </c>
      <c r="F99" s="98" t="e">
        <f>'2.5.Céltart'!#REF!+'2.5.Céltart'!#REF!-'2.5.Céltart'!#REF!</f>
        <v>#REF!</v>
      </c>
      <c r="G99" s="98" t="e">
        <f>#REF!+#REF!-#REF!</f>
        <v>#REF!</v>
      </c>
      <c r="H99" s="98" t="e">
        <f>#REF!+#REF!-#REF!</f>
        <v>#REF!</v>
      </c>
      <c r="I99" s="98" t="e">
        <f>#REF!+#REF!-#REF!</f>
        <v>#REF!</v>
      </c>
      <c r="J99" t="e">
        <f>#REF!+#REF!-#REF!</f>
        <v>#REF!</v>
      </c>
      <c r="K99" s="98" t="e">
        <f>#REF!+#REF!-#REF!</f>
        <v>#REF!</v>
      </c>
    </row>
    <row r="100" spans="1:11" ht="12.75">
      <c r="A100" s="98" t="e">
        <f>#REF!+#REF!-#REF!</f>
        <v>#REF!</v>
      </c>
      <c r="B100" s="98" t="e">
        <f>#REF!+#REF!-#REF!</f>
        <v>#REF!</v>
      </c>
      <c r="C100" s="98" t="e">
        <f>#REF!+#REF!-#REF!</f>
        <v>#REF!</v>
      </c>
      <c r="D100" s="98" t="e">
        <f>#REF!+#REF!-#REF!</f>
        <v>#REF!</v>
      </c>
      <c r="E100" s="98" t="e">
        <f>'2.8.Felúj.'!#REF!+'2.8.Felúj.'!#REF!-'2.8.Felúj.'!#REF!</f>
        <v>#REF!</v>
      </c>
      <c r="F100" s="98" t="e">
        <f>'2.5.Céltart'!#REF!+'2.5.Céltart'!#REF!-'2.5.Céltart'!#REF!</f>
        <v>#REF!</v>
      </c>
      <c r="G100" s="98" t="e">
        <f>#REF!+#REF!-#REF!</f>
        <v>#REF!</v>
      </c>
      <c r="H100" s="98" t="e">
        <f>#REF!+#REF!-#REF!</f>
        <v>#REF!</v>
      </c>
      <c r="I100" s="98" t="e">
        <f>#REF!+#REF!-#REF!</f>
        <v>#REF!</v>
      </c>
      <c r="J100" t="e">
        <f>#REF!+#REF!-#REF!</f>
        <v>#REF!</v>
      </c>
      <c r="K100" s="98" t="e">
        <f>#REF!+#REF!-#REF!</f>
        <v>#REF!</v>
      </c>
    </row>
    <row r="101" spans="1:11" ht="12.75">
      <c r="A101" s="98" t="e">
        <f>#REF!+#REF!-#REF!</f>
        <v>#REF!</v>
      </c>
      <c r="B101" s="98" t="e">
        <f>#REF!+#REF!-#REF!</f>
        <v>#REF!</v>
      </c>
      <c r="C101" s="98" t="e">
        <f>#REF!+#REF!-#REF!</f>
        <v>#REF!</v>
      </c>
      <c r="D101" s="98" t="e">
        <f>#REF!+#REF!-#REF!</f>
        <v>#REF!</v>
      </c>
      <c r="E101" s="98" t="e">
        <f>'2.8.Felúj.'!#REF!+'2.8.Felúj.'!#REF!-'2.8.Felúj.'!#REF!</f>
        <v>#REF!</v>
      </c>
      <c r="F101" s="98" t="e">
        <f>'2.5.Céltart'!#REF!+'2.5.Céltart'!#REF!-'2.5.Céltart'!#REF!</f>
        <v>#REF!</v>
      </c>
      <c r="G101" s="98" t="e">
        <f>#REF!+#REF!-#REF!</f>
        <v>#REF!</v>
      </c>
      <c r="H101" s="98" t="e">
        <f>#REF!+#REF!-#REF!</f>
        <v>#REF!</v>
      </c>
      <c r="I101" s="98" t="e">
        <f>#REF!+#REF!-#REF!</f>
        <v>#REF!</v>
      </c>
      <c r="J101" t="e">
        <f>#REF!+#REF!-#REF!</f>
        <v>#REF!</v>
      </c>
      <c r="K101" s="98" t="e">
        <f>#REF!+#REF!-#REF!</f>
        <v>#REF!</v>
      </c>
    </row>
    <row r="102" spans="1:11" ht="12.75">
      <c r="A102" s="98" t="e">
        <f>#REF!+#REF!-#REF!</f>
        <v>#REF!</v>
      </c>
      <c r="B102" s="98" t="e">
        <f>#REF!+#REF!-#REF!</f>
        <v>#REF!</v>
      </c>
      <c r="C102" s="98" t="e">
        <f>#REF!+#REF!-#REF!</f>
        <v>#REF!</v>
      </c>
      <c r="D102" s="98" t="e">
        <f>#REF!+#REF!-#REF!</f>
        <v>#REF!</v>
      </c>
      <c r="E102" s="98" t="e">
        <f>'2.8.Felúj.'!#REF!+'2.8.Felúj.'!#REF!-'2.8.Felúj.'!#REF!</f>
        <v>#REF!</v>
      </c>
      <c r="F102" s="98" t="e">
        <f>'2.5.Céltart'!#REF!+'2.5.Céltart'!#REF!-'2.5.Céltart'!#REF!</f>
        <v>#REF!</v>
      </c>
      <c r="G102" s="98" t="e">
        <f>#REF!+#REF!-#REF!</f>
        <v>#REF!</v>
      </c>
      <c r="H102" s="98" t="e">
        <f>#REF!+#REF!-#REF!</f>
        <v>#REF!</v>
      </c>
      <c r="I102" s="98" t="e">
        <f>#REF!+#REF!-#REF!</f>
        <v>#REF!</v>
      </c>
      <c r="J102" t="e">
        <f>#REF!+#REF!-#REF!</f>
        <v>#REF!</v>
      </c>
      <c r="K102" s="98" t="e">
        <f>#REF!+#REF!-#REF!</f>
        <v>#REF!</v>
      </c>
    </row>
    <row r="103" spans="1:11" ht="12.75">
      <c r="A103" s="98" t="e">
        <f>#REF!+#REF!-#REF!</f>
        <v>#REF!</v>
      </c>
      <c r="B103" s="98" t="e">
        <f>#REF!+#REF!-#REF!</f>
        <v>#REF!</v>
      </c>
      <c r="C103" s="98" t="e">
        <f>#REF!+#REF!-#REF!</f>
        <v>#REF!</v>
      </c>
      <c r="D103" s="98" t="e">
        <f>#REF!+#REF!-#REF!</f>
        <v>#REF!</v>
      </c>
      <c r="E103" s="98" t="e">
        <f>'2.8.Felúj.'!#REF!+'2.8.Felúj.'!#REF!-'2.8.Felúj.'!#REF!</f>
        <v>#REF!</v>
      </c>
      <c r="F103" s="98" t="e">
        <f>'2.5.Céltart'!#REF!+'2.5.Céltart'!#REF!-'2.5.Céltart'!#REF!</f>
        <v>#REF!</v>
      </c>
      <c r="G103" s="98" t="e">
        <f>#REF!+#REF!-#REF!</f>
        <v>#REF!</v>
      </c>
      <c r="H103" s="98" t="e">
        <f>#REF!+#REF!-#REF!</f>
        <v>#REF!</v>
      </c>
      <c r="I103" s="98" t="e">
        <f>#REF!+#REF!-#REF!</f>
        <v>#REF!</v>
      </c>
      <c r="J103" t="e">
        <f>#REF!+#REF!-#REF!</f>
        <v>#REF!</v>
      </c>
      <c r="K103" s="98" t="e">
        <f>#REF!+#REF!-#REF!</f>
        <v>#REF!</v>
      </c>
    </row>
    <row r="104" spans="1:11" ht="12.75">
      <c r="A104" s="98" t="e">
        <f>#REF!+#REF!-#REF!</f>
        <v>#REF!</v>
      </c>
      <c r="B104" s="98" t="e">
        <f>#REF!+#REF!-#REF!</f>
        <v>#REF!</v>
      </c>
      <c r="C104" s="98" t="e">
        <f>#REF!+#REF!-#REF!</f>
        <v>#REF!</v>
      </c>
      <c r="D104" s="98" t="e">
        <f>#REF!+#REF!-#REF!</f>
        <v>#REF!</v>
      </c>
      <c r="E104" s="98" t="e">
        <f>'2.8.Felúj.'!#REF!+'2.8.Felúj.'!#REF!-'2.8.Felúj.'!#REF!</f>
        <v>#REF!</v>
      </c>
      <c r="F104" s="98" t="e">
        <f>'2.5.Céltart'!#REF!+'2.5.Céltart'!#REF!-'2.5.Céltart'!#REF!</f>
        <v>#REF!</v>
      </c>
      <c r="G104" s="98" t="e">
        <f>#REF!+#REF!-#REF!</f>
        <v>#REF!</v>
      </c>
      <c r="H104" s="98" t="e">
        <f>#REF!+#REF!-#REF!</f>
        <v>#REF!</v>
      </c>
      <c r="I104" s="98" t="e">
        <f>#REF!+#REF!-#REF!</f>
        <v>#REF!</v>
      </c>
      <c r="J104" t="e">
        <f>#REF!+#REF!-#REF!</f>
        <v>#REF!</v>
      </c>
      <c r="K104" s="98" t="e">
        <f>#REF!+#REF!-#REF!</f>
        <v>#REF!</v>
      </c>
    </row>
    <row r="105" spans="1:11" ht="12.75">
      <c r="A105" s="98" t="e">
        <f>#REF!+#REF!-#REF!</f>
        <v>#REF!</v>
      </c>
      <c r="B105" s="98" t="e">
        <f>#REF!+#REF!-#REF!</f>
        <v>#REF!</v>
      </c>
      <c r="C105" s="98" t="e">
        <f>#REF!+#REF!-#REF!</f>
        <v>#REF!</v>
      </c>
      <c r="D105" s="98" t="e">
        <f>#REF!+#REF!-#REF!</f>
        <v>#REF!</v>
      </c>
      <c r="E105" s="98" t="e">
        <f>'2.8.Felúj.'!#REF!+'2.8.Felúj.'!#REF!-'2.8.Felúj.'!#REF!</f>
        <v>#REF!</v>
      </c>
      <c r="F105" s="98" t="e">
        <f>'2.5.Céltart'!#REF!+'2.5.Céltart'!#REF!-'2.5.Céltart'!#REF!</f>
        <v>#REF!</v>
      </c>
      <c r="G105" s="98" t="e">
        <f>#REF!+#REF!-#REF!</f>
        <v>#REF!</v>
      </c>
      <c r="H105" s="98" t="e">
        <f>#REF!+#REF!-#REF!</f>
        <v>#REF!</v>
      </c>
      <c r="I105" s="98" t="e">
        <f>#REF!+#REF!-#REF!</f>
        <v>#REF!</v>
      </c>
      <c r="J105" t="e">
        <f>#REF!+#REF!-#REF!</f>
        <v>#REF!</v>
      </c>
      <c r="K105" s="98" t="e">
        <f>#REF!+#REF!-#REF!</f>
        <v>#REF!</v>
      </c>
    </row>
    <row r="106" spans="1:11" ht="12.75">
      <c r="A106" s="98" t="e">
        <f>#REF!+#REF!-#REF!</f>
        <v>#REF!</v>
      </c>
      <c r="B106" s="98" t="e">
        <f>#REF!+#REF!-#REF!</f>
        <v>#REF!</v>
      </c>
      <c r="C106" s="98" t="e">
        <f>#REF!+#REF!-#REF!</f>
        <v>#REF!</v>
      </c>
      <c r="D106" s="98" t="e">
        <f>#REF!+#REF!-#REF!</f>
        <v>#REF!</v>
      </c>
      <c r="E106" s="98" t="e">
        <f>'2.8.Felúj.'!#REF!+'2.8.Felúj.'!#REF!-'2.8.Felúj.'!#REF!</f>
        <v>#REF!</v>
      </c>
      <c r="F106" s="98" t="e">
        <f>'2.5.Céltart'!#REF!+'2.5.Céltart'!#REF!-'2.5.Céltart'!#REF!</f>
        <v>#REF!</v>
      </c>
      <c r="G106" s="98" t="e">
        <f>#REF!+#REF!-#REF!</f>
        <v>#REF!</v>
      </c>
      <c r="H106" s="98" t="e">
        <f>#REF!+#REF!-#REF!</f>
        <v>#REF!</v>
      </c>
      <c r="I106" s="98" t="e">
        <f>#REF!+#REF!-#REF!</f>
        <v>#REF!</v>
      </c>
      <c r="J106" t="e">
        <f>#REF!+#REF!-#REF!</f>
        <v>#REF!</v>
      </c>
      <c r="K106" s="98" t="e">
        <f>#REF!+#REF!-#REF!</f>
        <v>#REF!</v>
      </c>
    </row>
    <row r="107" spans="1:11" ht="12.75">
      <c r="A107" s="98" t="e">
        <f>#REF!+#REF!-#REF!</f>
        <v>#REF!</v>
      </c>
      <c r="B107" s="98" t="e">
        <f>#REF!+#REF!-#REF!</f>
        <v>#REF!</v>
      </c>
      <c r="C107" s="98" t="e">
        <f>#REF!+#REF!-#REF!</f>
        <v>#REF!</v>
      </c>
      <c r="D107" s="98" t="e">
        <f>#REF!+#REF!-#REF!</f>
        <v>#REF!</v>
      </c>
      <c r="E107" s="98" t="e">
        <f>'2.8.Felúj.'!#REF!+'2.8.Felúj.'!#REF!-'2.8.Felúj.'!#REF!</f>
        <v>#REF!</v>
      </c>
      <c r="F107" s="98" t="e">
        <f>'2.5.Céltart'!#REF!+'2.5.Céltart'!#REF!-'2.5.Céltart'!#REF!</f>
        <v>#REF!</v>
      </c>
      <c r="G107" s="98" t="e">
        <f>#REF!+#REF!-#REF!</f>
        <v>#REF!</v>
      </c>
      <c r="H107" s="98" t="e">
        <f>#REF!+#REF!-#REF!</f>
        <v>#REF!</v>
      </c>
      <c r="I107" s="98" t="e">
        <f>#REF!+#REF!-#REF!</f>
        <v>#REF!</v>
      </c>
      <c r="J107" t="e">
        <f>#REF!+#REF!-#REF!</f>
        <v>#REF!</v>
      </c>
      <c r="K107" s="98" t="e">
        <f>#REF!+#REF!-#REF!</f>
        <v>#REF!</v>
      </c>
    </row>
    <row r="108" spans="1:11" ht="12.75">
      <c r="A108" s="98" t="e">
        <f>#REF!+#REF!-#REF!</f>
        <v>#REF!</v>
      </c>
      <c r="B108" s="98" t="e">
        <f>#REF!+#REF!-#REF!</f>
        <v>#REF!</v>
      </c>
      <c r="C108" s="98" t="e">
        <f>#REF!+#REF!-#REF!</f>
        <v>#REF!</v>
      </c>
      <c r="D108" s="98" t="e">
        <f>#REF!+#REF!-#REF!</f>
        <v>#REF!</v>
      </c>
      <c r="E108" s="98" t="e">
        <f>'2.8.Felúj.'!#REF!+'2.8.Felúj.'!#REF!-'2.8.Felúj.'!#REF!</f>
        <v>#REF!</v>
      </c>
      <c r="F108" s="98" t="e">
        <f>'2.5.Céltart'!#REF!+'2.5.Céltart'!#REF!-'2.5.Céltart'!#REF!</f>
        <v>#REF!</v>
      </c>
      <c r="G108" s="98" t="e">
        <f>#REF!+#REF!-#REF!</f>
        <v>#REF!</v>
      </c>
      <c r="H108" s="98" t="e">
        <f>#REF!+#REF!-#REF!</f>
        <v>#REF!</v>
      </c>
      <c r="I108" s="98" t="e">
        <f>#REF!+#REF!-#REF!</f>
        <v>#REF!</v>
      </c>
      <c r="J108" t="e">
        <f>#REF!+#REF!-#REF!</f>
        <v>#REF!</v>
      </c>
      <c r="K108" s="98" t="e">
        <f>#REF!+#REF!-#REF!</f>
        <v>#REF!</v>
      </c>
    </row>
    <row r="109" spans="1:11" ht="12.75">
      <c r="A109" s="98" t="e">
        <f>#REF!+#REF!-#REF!</f>
        <v>#REF!</v>
      </c>
      <c r="B109" s="98" t="e">
        <f>#REF!+#REF!-#REF!</f>
        <v>#REF!</v>
      </c>
      <c r="C109" s="98" t="e">
        <f>#REF!+#REF!-#REF!</f>
        <v>#REF!</v>
      </c>
      <c r="D109" s="98" t="e">
        <f>#REF!+#REF!-#REF!</f>
        <v>#REF!</v>
      </c>
      <c r="E109" s="98" t="e">
        <f>'2.8.Felúj.'!#REF!+'2.8.Felúj.'!#REF!-'2.8.Felúj.'!#REF!</f>
        <v>#REF!</v>
      </c>
      <c r="F109" s="98" t="e">
        <f>'2.5.Céltart'!#REF!+'2.5.Céltart'!#REF!-'2.5.Céltart'!#REF!</f>
        <v>#REF!</v>
      </c>
      <c r="G109" s="98" t="e">
        <f>#REF!+#REF!-#REF!</f>
        <v>#REF!</v>
      </c>
      <c r="H109" s="98" t="e">
        <f>#REF!+#REF!-#REF!</f>
        <v>#REF!</v>
      </c>
      <c r="I109" s="98" t="e">
        <f>#REF!+#REF!-#REF!</f>
        <v>#REF!</v>
      </c>
      <c r="J109" t="e">
        <f>#REF!+#REF!-#REF!</f>
        <v>#REF!</v>
      </c>
      <c r="K109" s="98" t="e">
        <f>#REF!+#REF!-#REF!</f>
        <v>#REF!</v>
      </c>
    </row>
    <row r="110" spans="1:11" ht="12.75">
      <c r="A110" s="98" t="e">
        <f>#REF!+#REF!-#REF!</f>
        <v>#REF!</v>
      </c>
      <c r="B110" s="98" t="e">
        <f>#REF!+#REF!-#REF!</f>
        <v>#REF!</v>
      </c>
      <c r="C110" s="98" t="e">
        <f>#REF!+#REF!-#REF!</f>
        <v>#REF!</v>
      </c>
      <c r="D110" s="98" t="e">
        <f>#REF!+#REF!-#REF!</f>
        <v>#REF!</v>
      </c>
      <c r="E110" s="98" t="e">
        <f>'2.8.Felúj.'!#REF!+'2.8.Felúj.'!#REF!-'2.8.Felúj.'!#REF!</f>
        <v>#REF!</v>
      </c>
      <c r="F110" s="98" t="e">
        <f>'2.5.Céltart'!#REF!+'2.5.Céltart'!#REF!-'2.5.Céltart'!#REF!</f>
        <v>#REF!</v>
      </c>
      <c r="G110" s="98" t="e">
        <f>#REF!+#REF!-#REF!</f>
        <v>#REF!</v>
      </c>
      <c r="H110" s="98" t="e">
        <f>#REF!+#REF!-#REF!</f>
        <v>#REF!</v>
      </c>
      <c r="I110" s="98" t="e">
        <f>#REF!+#REF!-#REF!</f>
        <v>#REF!</v>
      </c>
      <c r="J110" t="e">
        <f>#REF!+#REF!-#REF!</f>
        <v>#REF!</v>
      </c>
      <c r="K110" s="98" t="e">
        <f>#REF!+#REF!-#REF!</f>
        <v>#REF!</v>
      </c>
    </row>
    <row r="111" spans="1:11" ht="12.75">
      <c r="A111" s="98" t="e">
        <f>#REF!+#REF!-#REF!</f>
        <v>#REF!</v>
      </c>
      <c r="B111" s="98" t="e">
        <f>#REF!+#REF!-#REF!</f>
        <v>#REF!</v>
      </c>
      <c r="C111" s="98" t="e">
        <f>#REF!+#REF!-#REF!</f>
        <v>#REF!</v>
      </c>
      <c r="D111" s="98" t="e">
        <f>#REF!+#REF!-#REF!</f>
        <v>#REF!</v>
      </c>
      <c r="E111" s="98" t="e">
        <f>'2.8.Felúj.'!#REF!+'2.8.Felúj.'!#REF!-'2.8.Felúj.'!#REF!</f>
        <v>#REF!</v>
      </c>
      <c r="F111" s="98" t="e">
        <f>'2.5.Céltart'!#REF!+'2.5.Céltart'!#REF!-'2.5.Céltart'!#REF!</f>
        <v>#REF!</v>
      </c>
      <c r="G111" s="98" t="e">
        <f>#REF!+#REF!-#REF!</f>
        <v>#REF!</v>
      </c>
      <c r="H111" s="98" t="e">
        <f>#REF!+#REF!-#REF!</f>
        <v>#REF!</v>
      </c>
      <c r="I111" s="98" t="e">
        <f>#REF!+#REF!-#REF!</f>
        <v>#REF!</v>
      </c>
      <c r="J111" t="e">
        <f>#REF!+#REF!-#REF!</f>
        <v>#REF!</v>
      </c>
      <c r="K111" s="98" t="e">
        <f>#REF!+#REF!-#REF!</f>
        <v>#REF!</v>
      </c>
    </row>
    <row r="112" spans="1:11" ht="12.75">
      <c r="A112" s="98" t="e">
        <f>#REF!+#REF!-#REF!</f>
        <v>#REF!</v>
      </c>
      <c r="B112" s="98" t="e">
        <f>#REF!+#REF!-#REF!</f>
        <v>#REF!</v>
      </c>
      <c r="C112" s="98" t="e">
        <f>#REF!+#REF!-#REF!</f>
        <v>#REF!</v>
      </c>
      <c r="D112" s="98" t="e">
        <f>#REF!+#REF!-#REF!</f>
        <v>#REF!</v>
      </c>
      <c r="E112" s="98" t="e">
        <f>'2.8.Felúj.'!#REF!+'2.8.Felúj.'!#REF!-'2.8.Felúj.'!#REF!</f>
        <v>#REF!</v>
      </c>
      <c r="F112" s="98" t="e">
        <f>'2.5.Céltart'!#REF!+'2.5.Céltart'!#REF!-'2.5.Céltart'!#REF!</f>
        <v>#REF!</v>
      </c>
      <c r="G112" s="98" t="e">
        <f>#REF!+#REF!-#REF!</f>
        <v>#REF!</v>
      </c>
      <c r="H112" s="98" t="e">
        <f>#REF!+#REF!-#REF!</f>
        <v>#REF!</v>
      </c>
      <c r="I112" s="98" t="e">
        <f>#REF!+#REF!-#REF!</f>
        <v>#REF!</v>
      </c>
      <c r="J112" t="e">
        <f>#REF!+#REF!-#REF!</f>
        <v>#REF!</v>
      </c>
      <c r="K112" s="98" t="e">
        <f>#REF!+#REF!-#REF!</f>
        <v>#REF!</v>
      </c>
    </row>
    <row r="113" spans="1:11" ht="12.75">
      <c r="A113" s="98" t="e">
        <f>#REF!+#REF!-#REF!</f>
        <v>#REF!</v>
      </c>
      <c r="B113" s="98" t="e">
        <f>#REF!+#REF!-#REF!</f>
        <v>#REF!</v>
      </c>
      <c r="C113" s="98" t="e">
        <f>#REF!+#REF!-#REF!</f>
        <v>#REF!</v>
      </c>
      <c r="D113" s="98" t="e">
        <f>#REF!+#REF!-#REF!</f>
        <v>#REF!</v>
      </c>
      <c r="E113" s="98" t="e">
        <f>'2.8.Felúj.'!#REF!+'2.8.Felúj.'!#REF!-'2.8.Felúj.'!#REF!</f>
        <v>#REF!</v>
      </c>
      <c r="F113" s="98" t="e">
        <f>'2.5.Céltart'!#REF!+'2.5.Céltart'!#REF!-'2.5.Céltart'!#REF!</f>
        <v>#REF!</v>
      </c>
      <c r="G113" s="98" t="e">
        <f>#REF!+#REF!-#REF!</f>
        <v>#REF!</v>
      </c>
      <c r="H113" s="98" t="e">
        <f>#REF!+#REF!-#REF!</f>
        <v>#REF!</v>
      </c>
      <c r="I113" s="98" t="e">
        <f>#REF!+#REF!-#REF!</f>
        <v>#REF!</v>
      </c>
      <c r="J113" t="e">
        <f>#REF!+#REF!-#REF!</f>
        <v>#REF!</v>
      </c>
      <c r="K113" s="98" t="e">
        <f>#REF!+#REF!-#REF!</f>
        <v>#REF!</v>
      </c>
    </row>
    <row r="114" spans="1:11" ht="12.75">
      <c r="A114" s="98" t="e">
        <f>#REF!+#REF!-#REF!</f>
        <v>#REF!</v>
      </c>
      <c r="B114" s="98" t="e">
        <f>#REF!+#REF!-#REF!</f>
        <v>#REF!</v>
      </c>
      <c r="C114" s="98" t="e">
        <f>#REF!+#REF!-#REF!</f>
        <v>#REF!</v>
      </c>
      <c r="D114" s="98" t="e">
        <f>#REF!+#REF!-#REF!</f>
        <v>#REF!</v>
      </c>
      <c r="E114" s="98" t="e">
        <f>'2.8.Felúj.'!#REF!+'2.8.Felúj.'!#REF!-'2.8.Felúj.'!#REF!</f>
        <v>#REF!</v>
      </c>
      <c r="F114" s="98" t="e">
        <f>'2.5.Céltart'!#REF!+'2.5.Céltart'!#REF!-'2.5.Céltart'!#REF!</f>
        <v>#REF!</v>
      </c>
      <c r="G114" s="98" t="e">
        <f>#REF!+#REF!-#REF!</f>
        <v>#REF!</v>
      </c>
      <c r="H114" s="98" t="e">
        <f>#REF!+#REF!-#REF!</f>
        <v>#REF!</v>
      </c>
      <c r="I114" s="98" t="e">
        <f>#REF!+#REF!-#REF!</f>
        <v>#REF!</v>
      </c>
      <c r="J114" t="e">
        <f>#REF!+#REF!-#REF!</f>
        <v>#REF!</v>
      </c>
      <c r="K114" s="98" t="e">
        <f>#REF!+#REF!-#REF!</f>
        <v>#REF!</v>
      </c>
    </row>
    <row r="115" spans="1:11" ht="12.75">
      <c r="A115" s="98" t="e">
        <f>#REF!+#REF!-#REF!</f>
        <v>#REF!</v>
      </c>
      <c r="B115" s="98" t="e">
        <f>#REF!+#REF!-#REF!</f>
        <v>#REF!</v>
      </c>
      <c r="C115" s="98" t="e">
        <f>#REF!+#REF!-#REF!</f>
        <v>#REF!</v>
      </c>
      <c r="D115" s="98" t="e">
        <f>#REF!+#REF!-#REF!</f>
        <v>#REF!</v>
      </c>
      <c r="E115" s="98" t="e">
        <f>'2.8.Felúj.'!#REF!+'2.8.Felúj.'!#REF!-'2.8.Felúj.'!#REF!</f>
        <v>#REF!</v>
      </c>
      <c r="F115" s="98" t="e">
        <f>'2.5.Céltart'!#REF!+'2.5.Céltart'!#REF!-'2.5.Céltart'!#REF!</f>
        <v>#REF!</v>
      </c>
      <c r="G115" s="98" t="e">
        <f>#REF!+#REF!-#REF!</f>
        <v>#REF!</v>
      </c>
      <c r="H115" s="98" t="e">
        <f>#REF!+#REF!-#REF!</f>
        <v>#REF!</v>
      </c>
      <c r="I115" s="98" t="e">
        <f>#REF!+#REF!-#REF!</f>
        <v>#REF!</v>
      </c>
      <c r="J115" t="e">
        <f>#REF!+#REF!-#REF!</f>
        <v>#REF!</v>
      </c>
      <c r="K115" s="98" t="e">
        <f>#REF!+#REF!-#REF!</f>
        <v>#REF!</v>
      </c>
    </row>
    <row r="116" spans="1:11" ht="12.75">
      <c r="A116" s="98" t="e">
        <f>#REF!+#REF!-#REF!</f>
        <v>#REF!</v>
      </c>
      <c r="B116" s="98" t="e">
        <f>#REF!+#REF!-#REF!</f>
        <v>#REF!</v>
      </c>
      <c r="C116" s="98" t="e">
        <f>#REF!+#REF!-#REF!</f>
        <v>#REF!</v>
      </c>
      <c r="D116" s="98" t="e">
        <f>#REF!+#REF!-#REF!</f>
        <v>#REF!</v>
      </c>
      <c r="E116" s="98" t="e">
        <f>'2.8.Felúj.'!#REF!+'2.8.Felúj.'!#REF!-'2.8.Felúj.'!#REF!</f>
        <v>#REF!</v>
      </c>
      <c r="F116" s="98" t="e">
        <f>'2.5.Céltart'!#REF!+'2.5.Céltart'!#REF!-'2.5.Céltart'!#REF!</f>
        <v>#REF!</v>
      </c>
      <c r="G116" s="98" t="e">
        <f>#REF!+#REF!-#REF!</f>
        <v>#REF!</v>
      </c>
      <c r="H116" s="98" t="e">
        <f>#REF!+#REF!-#REF!</f>
        <v>#REF!</v>
      </c>
      <c r="I116" s="98" t="e">
        <f>#REF!+#REF!-#REF!</f>
        <v>#REF!</v>
      </c>
      <c r="J116" t="e">
        <f>#REF!+#REF!-#REF!</f>
        <v>#REF!</v>
      </c>
      <c r="K116" s="98" t="e">
        <f>#REF!+#REF!-#REF!</f>
        <v>#REF!</v>
      </c>
    </row>
    <row r="117" spans="1:11" ht="12.75">
      <c r="A117" s="98" t="e">
        <f>#REF!+#REF!-#REF!</f>
        <v>#REF!</v>
      </c>
      <c r="B117" s="98" t="e">
        <f>#REF!+#REF!-#REF!</f>
        <v>#REF!</v>
      </c>
      <c r="C117" s="98" t="e">
        <f>#REF!+#REF!-#REF!</f>
        <v>#REF!</v>
      </c>
      <c r="D117" s="98" t="e">
        <f>#REF!+#REF!-#REF!</f>
        <v>#REF!</v>
      </c>
      <c r="E117" s="98" t="e">
        <f>'2.8.Felúj.'!#REF!+'2.8.Felúj.'!#REF!-'2.8.Felúj.'!#REF!</f>
        <v>#REF!</v>
      </c>
      <c r="F117" s="98" t="e">
        <f>'2.5.Céltart'!#REF!+'2.5.Céltart'!#REF!-'2.5.Céltart'!#REF!</f>
        <v>#REF!</v>
      </c>
      <c r="G117" s="98" t="e">
        <f>#REF!+#REF!-#REF!</f>
        <v>#REF!</v>
      </c>
      <c r="H117" s="98" t="e">
        <f>#REF!+#REF!-#REF!</f>
        <v>#REF!</v>
      </c>
      <c r="I117" s="98" t="e">
        <f>#REF!+#REF!-#REF!</f>
        <v>#REF!</v>
      </c>
      <c r="J117" t="e">
        <f>#REF!+#REF!-#REF!</f>
        <v>#REF!</v>
      </c>
      <c r="K117" s="98" t="e">
        <f>#REF!+#REF!-#REF!</f>
        <v>#REF!</v>
      </c>
    </row>
    <row r="118" spans="1:11" ht="12.75">
      <c r="A118" s="98" t="e">
        <f>#REF!+#REF!-#REF!</f>
        <v>#REF!</v>
      </c>
      <c r="B118" s="98" t="e">
        <f>#REF!+#REF!-#REF!</f>
        <v>#REF!</v>
      </c>
      <c r="C118" s="98" t="e">
        <f>#REF!+#REF!-#REF!</f>
        <v>#REF!</v>
      </c>
      <c r="D118" s="98" t="e">
        <f>#REF!+#REF!-#REF!</f>
        <v>#REF!</v>
      </c>
      <c r="E118" s="98" t="e">
        <f>'2.8.Felúj.'!#REF!+'2.8.Felúj.'!#REF!-'2.8.Felúj.'!#REF!</f>
        <v>#REF!</v>
      </c>
      <c r="F118" s="98" t="e">
        <f>'2.5.Céltart'!#REF!+'2.5.Céltart'!#REF!-'2.5.Céltart'!#REF!</f>
        <v>#REF!</v>
      </c>
      <c r="G118" s="98" t="e">
        <f>#REF!+#REF!-#REF!</f>
        <v>#REF!</v>
      </c>
      <c r="H118" s="98" t="e">
        <f>#REF!+#REF!-#REF!</f>
        <v>#REF!</v>
      </c>
      <c r="I118" s="98" t="e">
        <f>#REF!+#REF!-#REF!</f>
        <v>#REF!</v>
      </c>
      <c r="J118" t="e">
        <f>#REF!+#REF!-#REF!</f>
        <v>#REF!</v>
      </c>
      <c r="K118" s="98" t="e">
        <f>#REF!+#REF!-#REF!</f>
        <v>#REF!</v>
      </c>
    </row>
    <row r="119" spans="1:11" ht="12.75">
      <c r="A119" s="98" t="e">
        <f>#REF!+#REF!-#REF!</f>
        <v>#REF!</v>
      </c>
      <c r="B119" s="98" t="e">
        <f>#REF!+#REF!-#REF!</f>
        <v>#REF!</v>
      </c>
      <c r="C119" s="98" t="e">
        <f>#REF!+#REF!-#REF!</f>
        <v>#REF!</v>
      </c>
      <c r="D119" s="98" t="e">
        <f>#REF!+#REF!-#REF!</f>
        <v>#REF!</v>
      </c>
      <c r="E119" s="98" t="e">
        <f>'2.8.Felúj.'!#REF!+'2.8.Felúj.'!#REF!-'2.8.Felúj.'!#REF!</f>
        <v>#REF!</v>
      </c>
      <c r="F119" s="98" t="e">
        <f>'2.5.Céltart'!#REF!+'2.5.Céltart'!#REF!-'2.5.Céltart'!#REF!</f>
        <v>#REF!</v>
      </c>
      <c r="G119" s="98" t="e">
        <f>#REF!+#REF!-#REF!</f>
        <v>#REF!</v>
      </c>
      <c r="H119" s="98" t="e">
        <f>#REF!+#REF!-#REF!</f>
        <v>#REF!</v>
      </c>
      <c r="I119" s="98" t="e">
        <f>#REF!+#REF!-#REF!</f>
        <v>#REF!</v>
      </c>
      <c r="J119" t="e">
        <f>#REF!+#REF!-#REF!</f>
        <v>#REF!</v>
      </c>
      <c r="K119" s="98" t="e">
        <f>#REF!+#REF!-#REF!</f>
        <v>#REF!</v>
      </c>
    </row>
    <row r="120" spans="1:11" ht="12.75">
      <c r="A120" s="98" t="e">
        <f>#REF!+#REF!-#REF!</f>
        <v>#REF!</v>
      </c>
      <c r="B120" s="98" t="e">
        <f>#REF!+#REF!-#REF!</f>
        <v>#REF!</v>
      </c>
      <c r="C120" s="98" t="e">
        <f>#REF!+#REF!-#REF!</f>
        <v>#REF!</v>
      </c>
      <c r="D120" s="98" t="e">
        <f>#REF!+#REF!-#REF!</f>
        <v>#REF!</v>
      </c>
      <c r="E120" s="98" t="e">
        <f>'2.8.Felúj.'!#REF!+'2.8.Felúj.'!#REF!-'2.8.Felúj.'!#REF!</f>
        <v>#REF!</v>
      </c>
      <c r="F120" s="98" t="e">
        <f>'2.5.Céltart'!#REF!+'2.5.Céltart'!#REF!-'2.5.Céltart'!#REF!</f>
        <v>#REF!</v>
      </c>
      <c r="G120" s="98" t="e">
        <f>#REF!+#REF!-#REF!</f>
        <v>#REF!</v>
      </c>
      <c r="H120" s="98" t="e">
        <f>#REF!+#REF!-#REF!</f>
        <v>#REF!</v>
      </c>
      <c r="I120" s="98" t="e">
        <f>#REF!+#REF!-#REF!</f>
        <v>#REF!</v>
      </c>
      <c r="J120" t="e">
        <f>#REF!+#REF!-#REF!</f>
        <v>#REF!</v>
      </c>
      <c r="K120" s="98" t="e">
        <f>#REF!+#REF!-#REF!</f>
        <v>#REF!</v>
      </c>
    </row>
    <row r="121" spans="1:11" ht="12.75">
      <c r="A121" s="98" t="e">
        <f>#REF!+#REF!-#REF!</f>
        <v>#REF!</v>
      </c>
      <c r="B121" s="98" t="e">
        <f>#REF!+#REF!-#REF!</f>
        <v>#REF!</v>
      </c>
      <c r="C121" s="98" t="e">
        <f>#REF!+#REF!-#REF!</f>
        <v>#REF!</v>
      </c>
      <c r="D121" s="98" t="e">
        <f>#REF!+#REF!-#REF!</f>
        <v>#REF!</v>
      </c>
      <c r="E121" s="98" t="e">
        <f>'2.8.Felúj.'!#REF!+'2.8.Felúj.'!#REF!-'2.8.Felúj.'!#REF!</f>
        <v>#REF!</v>
      </c>
      <c r="F121" s="98" t="e">
        <f>'2.5.Céltart'!#REF!+'2.5.Céltart'!#REF!-'2.5.Céltart'!#REF!</f>
        <v>#REF!</v>
      </c>
      <c r="G121" s="98" t="e">
        <f>#REF!+#REF!-#REF!</f>
        <v>#REF!</v>
      </c>
      <c r="H121" s="98" t="e">
        <f>#REF!+#REF!-#REF!</f>
        <v>#REF!</v>
      </c>
      <c r="I121" s="98" t="e">
        <f>#REF!+#REF!-#REF!</f>
        <v>#REF!</v>
      </c>
      <c r="J121" t="e">
        <f>#REF!+#REF!-#REF!</f>
        <v>#REF!</v>
      </c>
      <c r="K121" s="98" t="e">
        <f>#REF!+#REF!-#REF!</f>
        <v>#REF!</v>
      </c>
    </row>
    <row r="122" spans="1:11" ht="12.75">
      <c r="A122" s="98" t="e">
        <f>#REF!+#REF!-#REF!</f>
        <v>#REF!</v>
      </c>
      <c r="B122" s="98" t="e">
        <f>#REF!+#REF!-#REF!</f>
        <v>#REF!</v>
      </c>
      <c r="C122" s="98" t="e">
        <f>#REF!+#REF!-#REF!</f>
        <v>#REF!</v>
      </c>
      <c r="D122" s="98" t="e">
        <f>#REF!+#REF!-#REF!</f>
        <v>#REF!</v>
      </c>
      <c r="E122" s="98" t="e">
        <f>'2.8.Felúj.'!#REF!+'2.8.Felúj.'!#REF!-'2.8.Felúj.'!#REF!</f>
        <v>#REF!</v>
      </c>
      <c r="F122" s="98" t="e">
        <f>'2.5.Céltart'!#REF!+'2.5.Céltart'!#REF!-'2.5.Céltart'!#REF!</f>
        <v>#REF!</v>
      </c>
      <c r="G122" s="98" t="e">
        <f>#REF!+#REF!-#REF!</f>
        <v>#REF!</v>
      </c>
      <c r="H122" s="98" t="e">
        <f>#REF!+#REF!-#REF!</f>
        <v>#REF!</v>
      </c>
      <c r="I122" s="98" t="e">
        <f>#REF!+#REF!-#REF!</f>
        <v>#REF!</v>
      </c>
      <c r="J122" t="e">
        <f>#REF!+#REF!-#REF!</f>
        <v>#REF!</v>
      </c>
      <c r="K122" s="98" t="e">
        <f>#REF!+#REF!-#REF!</f>
        <v>#REF!</v>
      </c>
    </row>
    <row r="123" spans="1:11" ht="12.75">
      <c r="A123" s="98" t="e">
        <f>#REF!+#REF!-#REF!</f>
        <v>#REF!</v>
      </c>
      <c r="B123" s="98" t="e">
        <f>#REF!+#REF!-#REF!</f>
        <v>#REF!</v>
      </c>
      <c r="C123" s="98" t="e">
        <f>#REF!+#REF!-#REF!</f>
        <v>#REF!</v>
      </c>
      <c r="D123" s="98" t="e">
        <f>#REF!+#REF!-#REF!</f>
        <v>#REF!</v>
      </c>
      <c r="E123" s="98" t="e">
        <f>'2.8.Felúj.'!#REF!+'2.8.Felúj.'!#REF!-'2.8.Felúj.'!#REF!</f>
        <v>#REF!</v>
      </c>
      <c r="F123" s="98" t="e">
        <f>'2.5.Céltart'!#REF!+'2.5.Céltart'!#REF!-'2.5.Céltart'!#REF!</f>
        <v>#REF!</v>
      </c>
      <c r="G123" s="98" t="e">
        <f>#REF!+#REF!-#REF!</f>
        <v>#REF!</v>
      </c>
      <c r="H123" s="98" t="e">
        <f>#REF!+#REF!-#REF!</f>
        <v>#REF!</v>
      </c>
      <c r="I123" s="98" t="e">
        <f>#REF!+#REF!-#REF!</f>
        <v>#REF!</v>
      </c>
      <c r="J123" t="e">
        <f>#REF!+#REF!-#REF!</f>
        <v>#REF!</v>
      </c>
      <c r="K123" s="98" t="e">
        <f>#REF!+#REF!-#REF!</f>
        <v>#REF!</v>
      </c>
    </row>
    <row r="124" spans="1:11" ht="12.75">
      <c r="A124" s="98" t="e">
        <f>#REF!+#REF!-#REF!</f>
        <v>#REF!</v>
      </c>
      <c r="B124" s="98" t="e">
        <f>#REF!+#REF!-#REF!</f>
        <v>#REF!</v>
      </c>
      <c r="C124" s="98" t="e">
        <f>#REF!+#REF!-#REF!</f>
        <v>#REF!</v>
      </c>
      <c r="D124" s="98" t="e">
        <f>#REF!+#REF!-#REF!</f>
        <v>#REF!</v>
      </c>
      <c r="E124" s="98" t="e">
        <f>'2.8.Felúj.'!#REF!+'2.8.Felúj.'!#REF!-'2.8.Felúj.'!#REF!</f>
        <v>#REF!</v>
      </c>
      <c r="F124" s="98" t="e">
        <f>'2.5.Céltart'!#REF!+'2.5.Céltart'!#REF!-'2.5.Céltart'!#REF!</f>
        <v>#REF!</v>
      </c>
      <c r="G124" s="98" t="e">
        <f>#REF!+#REF!-#REF!</f>
        <v>#REF!</v>
      </c>
      <c r="H124" s="98" t="e">
        <f>#REF!+#REF!-#REF!</f>
        <v>#REF!</v>
      </c>
      <c r="I124" s="98" t="e">
        <f>#REF!+#REF!-#REF!</f>
        <v>#REF!</v>
      </c>
      <c r="J124" t="e">
        <f>#REF!+#REF!-#REF!</f>
        <v>#REF!</v>
      </c>
      <c r="K124" s="98" t="e">
        <f>#REF!+#REF!-#REF!</f>
        <v>#REF!</v>
      </c>
    </row>
    <row r="125" spans="1:11" ht="12.75">
      <c r="A125" s="98" t="e">
        <f>#REF!+#REF!-#REF!</f>
        <v>#REF!</v>
      </c>
      <c r="B125" s="98" t="e">
        <f>#REF!+#REF!-#REF!</f>
        <v>#REF!</v>
      </c>
      <c r="C125" s="98" t="e">
        <f>#REF!+#REF!-#REF!</f>
        <v>#REF!</v>
      </c>
      <c r="D125" s="98" t="e">
        <f>#REF!+#REF!-#REF!</f>
        <v>#REF!</v>
      </c>
      <c r="E125" s="98" t="e">
        <f>'2.8.Felúj.'!#REF!+'2.8.Felúj.'!#REF!-'2.8.Felúj.'!#REF!</f>
        <v>#REF!</v>
      </c>
      <c r="F125" s="98" t="e">
        <f>'2.5.Céltart'!#REF!+'2.5.Céltart'!#REF!-'2.5.Céltart'!#REF!</f>
        <v>#REF!</v>
      </c>
      <c r="G125" s="98" t="e">
        <f>#REF!+#REF!-#REF!</f>
        <v>#REF!</v>
      </c>
      <c r="H125" s="98" t="e">
        <f>#REF!+#REF!-#REF!</f>
        <v>#REF!</v>
      </c>
      <c r="I125" s="98" t="e">
        <f>#REF!+#REF!-#REF!</f>
        <v>#REF!</v>
      </c>
      <c r="J125" t="e">
        <f>#REF!+#REF!-#REF!</f>
        <v>#REF!</v>
      </c>
      <c r="K125" s="98" t="e">
        <f>#REF!+#REF!-#REF!</f>
        <v>#REF!</v>
      </c>
    </row>
    <row r="126" spans="1:11" ht="12.75">
      <c r="A126" s="98" t="e">
        <f>#REF!+#REF!-#REF!</f>
        <v>#REF!</v>
      </c>
      <c r="B126" s="98" t="e">
        <f>#REF!+#REF!-#REF!</f>
        <v>#REF!</v>
      </c>
      <c r="C126" s="98" t="e">
        <f>#REF!+#REF!-#REF!</f>
        <v>#REF!</v>
      </c>
      <c r="D126" s="98" t="e">
        <f>#REF!+#REF!-#REF!</f>
        <v>#REF!</v>
      </c>
      <c r="E126" s="98" t="e">
        <f>'2.8.Felúj.'!#REF!+'2.8.Felúj.'!#REF!-'2.8.Felúj.'!#REF!</f>
        <v>#REF!</v>
      </c>
      <c r="F126" s="98" t="e">
        <f>'2.5.Céltart'!#REF!+'2.5.Céltart'!#REF!-'2.5.Céltart'!#REF!</f>
        <v>#REF!</v>
      </c>
      <c r="G126" s="98" t="e">
        <f>#REF!+#REF!-#REF!</f>
        <v>#REF!</v>
      </c>
      <c r="H126" s="98" t="e">
        <f>#REF!+#REF!-#REF!</f>
        <v>#REF!</v>
      </c>
      <c r="I126" s="98" t="e">
        <f>#REF!+#REF!-#REF!</f>
        <v>#REF!</v>
      </c>
      <c r="J126" t="e">
        <f>#REF!+#REF!-#REF!</f>
        <v>#REF!</v>
      </c>
      <c r="K126" s="98" t="e">
        <f>#REF!+#REF!-#REF!</f>
        <v>#REF!</v>
      </c>
    </row>
    <row r="127" spans="1:11" ht="12.75">
      <c r="A127" s="98" t="e">
        <f>#REF!+#REF!-#REF!</f>
        <v>#REF!</v>
      </c>
      <c r="B127" s="98" t="e">
        <f>#REF!+#REF!-#REF!</f>
        <v>#REF!</v>
      </c>
      <c r="C127" s="98" t="e">
        <f>#REF!+#REF!-#REF!</f>
        <v>#REF!</v>
      </c>
      <c r="D127" s="98" t="e">
        <f>#REF!+#REF!-#REF!</f>
        <v>#REF!</v>
      </c>
      <c r="E127" s="98" t="e">
        <f>'2.8.Felúj.'!#REF!+'2.8.Felúj.'!#REF!-'2.8.Felúj.'!#REF!</f>
        <v>#REF!</v>
      </c>
      <c r="F127" s="98" t="e">
        <f>'2.5.Céltart'!#REF!+'2.5.Céltart'!#REF!-'2.5.Céltart'!#REF!</f>
        <v>#REF!</v>
      </c>
      <c r="G127" s="98" t="e">
        <f>#REF!+#REF!-#REF!</f>
        <v>#REF!</v>
      </c>
      <c r="H127" s="98" t="e">
        <f>#REF!+#REF!-#REF!</f>
        <v>#REF!</v>
      </c>
      <c r="I127" s="98" t="e">
        <f>#REF!+#REF!-#REF!</f>
        <v>#REF!</v>
      </c>
      <c r="J127" t="e">
        <f>#REF!+#REF!-#REF!</f>
        <v>#REF!</v>
      </c>
      <c r="K127" s="98" t="e">
        <f>#REF!+#REF!-#REF!</f>
        <v>#REF!</v>
      </c>
    </row>
    <row r="128" spans="1:11" ht="12.75">
      <c r="A128" s="98" t="e">
        <f>#REF!+#REF!-#REF!</f>
        <v>#REF!</v>
      </c>
      <c r="B128" s="98" t="e">
        <f>#REF!+#REF!-#REF!</f>
        <v>#REF!</v>
      </c>
      <c r="C128" s="98" t="e">
        <f>#REF!+#REF!-#REF!</f>
        <v>#REF!</v>
      </c>
      <c r="D128" s="98" t="e">
        <f>#REF!+#REF!-#REF!</f>
        <v>#REF!</v>
      </c>
      <c r="E128" s="98" t="e">
        <f>'2.8.Felúj.'!#REF!+'2.8.Felúj.'!#REF!-'2.8.Felúj.'!#REF!</f>
        <v>#REF!</v>
      </c>
      <c r="F128" s="98" t="e">
        <f>'2.5.Céltart'!#REF!+'2.5.Céltart'!#REF!-'2.5.Céltart'!#REF!</f>
        <v>#REF!</v>
      </c>
      <c r="G128" s="98" t="e">
        <f>#REF!+#REF!-#REF!</f>
        <v>#REF!</v>
      </c>
      <c r="H128" s="98" t="e">
        <f>#REF!+#REF!-#REF!</f>
        <v>#REF!</v>
      </c>
      <c r="I128" s="98" t="e">
        <f>#REF!+#REF!-#REF!</f>
        <v>#REF!</v>
      </c>
      <c r="J128" t="e">
        <f>#REF!+#REF!-#REF!</f>
        <v>#REF!</v>
      </c>
      <c r="K128" s="98" t="e">
        <f>#REF!+#REF!-#REF!</f>
        <v>#REF!</v>
      </c>
    </row>
    <row r="129" spans="1:11" ht="12.75">
      <c r="A129" s="98" t="e">
        <f>#REF!+#REF!-#REF!</f>
        <v>#REF!</v>
      </c>
      <c r="B129" s="98" t="e">
        <f>#REF!+#REF!-#REF!</f>
        <v>#REF!</v>
      </c>
      <c r="C129" s="98" t="e">
        <f>#REF!+#REF!-#REF!</f>
        <v>#REF!</v>
      </c>
      <c r="D129" s="98" t="e">
        <f>#REF!+#REF!-#REF!</f>
        <v>#REF!</v>
      </c>
      <c r="E129" s="98" t="e">
        <f>'2.8.Felúj.'!#REF!+'2.8.Felúj.'!#REF!-'2.8.Felúj.'!#REF!</f>
        <v>#REF!</v>
      </c>
      <c r="F129" s="98" t="e">
        <f>'2.5.Céltart'!#REF!+'2.5.Céltart'!#REF!-'2.5.Céltart'!#REF!</f>
        <v>#REF!</v>
      </c>
      <c r="G129" s="98" t="e">
        <f>#REF!+#REF!-#REF!</f>
        <v>#REF!</v>
      </c>
      <c r="H129" s="98" t="e">
        <f>#REF!+#REF!-#REF!</f>
        <v>#REF!</v>
      </c>
      <c r="I129" s="98" t="e">
        <f>#REF!+#REF!-#REF!</f>
        <v>#REF!</v>
      </c>
      <c r="J129" t="e">
        <f>#REF!+#REF!-#REF!</f>
        <v>#REF!</v>
      </c>
      <c r="K129" s="98" t="e">
        <f>#REF!+#REF!-#REF!</f>
        <v>#REF!</v>
      </c>
    </row>
    <row r="130" spans="1:11" ht="12.75">
      <c r="A130" s="98" t="e">
        <f>#REF!+#REF!-#REF!</f>
        <v>#REF!</v>
      </c>
      <c r="B130" s="98" t="e">
        <f>#REF!+#REF!-#REF!</f>
        <v>#REF!</v>
      </c>
      <c r="C130" s="98" t="e">
        <f>#REF!+#REF!-#REF!</f>
        <v>#REF!</v>
      </c>
      <c r="D130" s="98" t="e">
        <f>#REF!+#REF!-#REF!</f>
        <v>#REF!</v>
      </c>
      <c r="E130" s="98" t="e">
        <f>'2.8.Felúj.'!#REF!+'2.8.Felúj.'!#REF!-'2.8.Felúj.'!#REF!</f>
        <v>#REF!</v>
      </c>
      <c r="F130" s="98" t="e">
        <f>'2.5.Céltart'!#REF!+'2.5.Céltart'!#REF!-'2.5.Céltart'!#REF!</f>
        <v>#REF!</v>
      </c>
      <c r="G130" s="98" t="e">
        <f>#REF!+#REF!-#REF!</f>
        <v>#REF!</v>
      </c>
      <c r="H130" s="98" t="e">
        <f>#REF!+#REF!-#REF!</f>
        <v>#REF!</v>
      </c>
      <c r="I130" s="98" t="e">
        <f>#REF!+#REF!-#REF!</f>
        <v>#REF!</v>
      </c>
      <c r="J130" t="e">
        <f>#REF!+#REF!-#REF!</f>
        <v>#REF!</v>
      </c>
      <c r="K130" s="98" t="e">
        <f>#REF!+#REF!-#REF!</f>
        <v>#REF!</v>
      </c>
    </row>
    <row r="131" spans="1:11" ht="12.75">
      <c r="A131" s="98" t="e">
        <f>#REF!+#REF!-#REF!</f>
        <v>#REF!</v>
      </c>
      <c r="B131" s="98" t="e">
        <f>#REF!+#REF!-#REF!</f>
        <v>#REF!</v>
      </c>
      <c r="C131" s="98" t="e">
        <f>#REF!+#REF!-#REF!</f>
        <v>#REF!</v>
      </c>
      <c r="D131" s="98" t="e">
        <f>#REF!+#REF!-#REF!</f>
        <v>#REF!</v>
      </c>
      <c r="E131" s="98" t="e">
        <f>'2.8.Felúj.'!#REF!+'2.8.Felúj.'!#REF!-'2.8.Felúj.'!#REF!</f>
        <v>#REF!</v>
      </c>
      <c r="F131" s="98" t="e">
        <f>'2.5.Céltart'!#REF!+'2.5.Céltart'!#REF!-'2.5.Céltart'!#REF!</f>
        <v>#REF!</v>
      </c>
      <c r="G131" s="98" t="e">
        <f>#REF!+#REF!-#REF!</f>
        <v>#REF!</v>
      </c>
      <c r="H131" s="98" t="e">
        <f>#REF!+#REF!-#REF!</f>
        <v>#REF!</v>
      </c>
      <c r="I131" s="98" t="e">
        <f>#REF!+#REF!-#REF!</f>
        <v>#REF!</v>
      </c>
      <c r="J131" t="e">
        <f>#REF!+#REF!-#REF!</f>
        <v>#REF!</v>
      </c>
      <c r="K131" s="98" t="e">
        <f>#REF!+#REF!-#REF!</f>
        <v>#REF!</v>
      </c>
    </row>
    <row r="132" spans="1:11" ht="12.75">
      <c r="A132" s="98" t="e">
        <f>#REF!+#REF!-#REF!</f>
        <v>#REF!</v>
      </c>
      <c r="B132" s="98" t="e">
        <f>#REF!+#REF!-#REF!</f>
        <v>#REF!</v>
      </c>
      <c r="C132" s="98" t="e">
        <f>#REF!+#REF!-#REF!</f>
        <v>#REF!</v>
      </c>
      <c r="D132" s="98" t="e">
        <f>#REF!+#REF!-#REF!</f>
        <v>#REF!</v>
      </c>
      <c r="E132" s="98" t="e">
        <f>'2.8.Felúj.'!#REF!+'2.8.Felúj.'!#REF!-'2.8.Felúj.'!#REF!</f>
        <v>#REF!</v>
      </c>
      <c r="F132" s="98" t="e">
        <f>'2.5.Céltart'!#REF!+'2.5.Céltart'!#REF!-'2.5.Céltart'!#REF!</f>
        <v>#REF!</v>
      </c>
      <c r="G132" s="98" t="e">
        <f>#REF!+#REF!-#REF!</f>
        <v>#REF!</v>
      </c>
      <c r="H132" s="98" t="e">
        <f>#REF!+#REF!-#REF!</f>
        <v>#REF!</v>
      </c>
      <c r="I132" s="98" t="e">
        <f>#REF!+#REF!-#REF!</f>
        <v>#REF!</v>
      </c>
      <c r="J132" t="e">
        <f>#REF!+#REF!-#REF!</f>
        <v>#REF!</v>
      </c>
      <c r="K132" s="98" t="e">
        <f>#REF!+#REF!-#REF!</f>
        <v>#REF!</v>
      </c>
    </row>
    <row r="133" spans="1:11" ht="12.75">
      <c r="A133" s="98" t="e">
        <f>#REF!+#REF!-#REF!</f>
        <v>#REF!</v>
      </c>
      <c r="B133" s="98" t="e">
        <f>#REF!+#REF!-#REF!</f>
        <v>#REF!</v>
      </c>
      <c r="C133" s="98" t="e">
        <f>#REF!+#REF!-#REF!</f>
        <v>#REF!</v>
      </c>
      <c r="D133" s="98" t="e">
        <f>#REF!+#REF!-#REF!</f>
        <v>#REF!</v>
      </c>
      <c r="E133" s="98" t="e">
        <f>'2.8.Felúj.'!#REF!+'2.8.Felúj.'!#REF!-'2.8.Felúj.'!#REF!</f>
        <v>#REF!</v>
      </c>
      <c r="F133" s="98" t="e">
        <f>'2.5.Céltart'!#REF!+'2.5.Céltart'!#REF!-'2.5.Céltart'!#REF!</f>
        <v>#REF!</v>
      </c>
      <c r="G133" s="98" t="e">
        <f>#REF!+#REF!-#REF!</f>
        <v>#REF!</v>
      </c>
      <c r="H133" s="98" t="e">
        <f>#REF!+#REF!-#REF!</f>
        <v>#REF!</v>
      </c>
      <c r="I133" s="98" t="e">
        <f>#REF!+#REF!-#REF!</f>
        <v>#REF!</v>
      </c>
      <c r="J133" t="e">
        <f>#REF!+#REF!-#REF!</f>
        <v>#REF!</v>
      </c>
      <c r="K133" s="98" t="e">
        <f>#REF!+#REF!-#REF!</f>
        <v>#REF!</v>
      </c>
    </row>
    <row r="134" spans="1:11" ht="12.75">
      <c r="A134" s="98" t="e">
        <f>#REF!+#REF!-#REF!</f>
        <v>#REF!</v>
      </c>
      <c r="B134" s="98" t="e">
        <f>#REF!+#REF!-#REF!</f>
        <v>#REF!</v>
      </c>
      <c r="C134" s="98" t="e">
        <f>#REF!+#REF!-#REF!</f>
        <v>#REF!</v>
      </c>
      <c r="D134" s="98" t="e">
        <f>#REF!+#REF!-#REF!</f>
        <v>#REF!</v>
      </c>
      <c r="E134" s="98" t="e">
        <f>'2.8.Felúj.'!#REF!+'2.8.Felúj.'!#REF!-'2.8.Felúj.'!#REF!</f>
        <v>#REF!</v>
      </c>
      <c r="F134" s="98" t="e">
        <f>'2.5.Céltart'!#REF!+'2.5.Céltart'!#REF!-'2.5.Céltart'!#REF!</f>
        <v>#REF!</v>
      </c>
      <c r="G134" s="98" t="e">
        <f>#REF!+#REF!-#REF!</f>
        <v>#REF!</v>
      </c>
      <c r="H134" s="98" t="e">
        <f>#REF!+#REF!-#REF!</f>
        <v>#REF!</v>
      </c>
      <c r="I134" s="98" t="e">
        <f>#REF!+#REF!-#REF!</f>
        <v>#REF!</v>
      </c>
      <c r="J134" t="e">
        <f>#REF!+#REF!-#REF!</f>
        <v>#REF!</v>
      </c>
      <c r="K134" s="98" t="e">
        <f>#REF!+#REF!-#REF!</f>
        <v>#REF!</v>
      </c>
    </row>
    <row r="135" spans="1:11" ht="12.75">
      <c r="A135" s="98" t="e">
        <f>#REF!+#REF!-#REF!</f>
        <v>#REF!</v>
      </c>
      <c r="B135" s="98" t="e">
        <f>#REF!+#REF!-#REF!</f>
        <v>#REF!</v>
      </c>
      <c r="C135" s="98" t="e">
        <f>#REF!+#REF!-#REF!</f>
        <v>#REF!</v>
      </c>
      <c r="D135" s="98" t="e">
        <f>#REF!+#REF!-#REF!</f>
        <v>#REF!</v>
      </c>
      <c r="E135" s="98" t="e">
        <f>'2.8.Felúj.'!#REF!+'2.8.Felúj.'!#REF!-'2.8.Felúj.'!#REF!</f>
        <v>#REF!</v>
      </c>
      <c r="F135" s="98" t="e">
        <f>'2.5.Céltart'!#REF!+'2.5.Céltart'!#REF!-'2.5.Céltart'!#REF!</f>
        <v>#REF!</v>
      </c>
      <c r="G135" s="98" t="e">
        <f>#REF!+#REF!-#REF!</f>
        <v>#REF!</v>
      </c>
      <c r="H135" s="98" t="e">
        <f>#REF!+#REF!-#REF!</f>
        <v>#REF!</v>
      </c>
      <c r="I135" s="98" t="e">
        <f>#REF!+#REF!-#REF!</f>
        <v>#REF!</v>
      </c>
      <c r="J135" t="e">
        <f>#REF!+#REF!-#REF!</f>
        <v>#REF!</v>
      </c>
      <c r="K135" s="98" t="e">
        <f>#REF!+#REF!-#REF!</f>
        <v>#REF!</v>
      </c>
    </row>
    <row r="136" spans="1:11" ht="12.75">
      <c r="A136" s="98" t="e">
        <f>#REF!+#REF!-#REF!</f>
        <v>#REF!</v>
      </c>
      <c r="B136" s="98" t="e">
        <f>#REF!+#REF!-#REF!</f>
        <v>#REF!</v>
      </c>
      <c r="C136" s="98" t="e">
        <f>#REF!+#REF!-#REF!</f>
        <v>#REF!</v>
      </c>
      <c r="D136" s="98" t="e">
        <f>#REF!+#REF!-#REF!</f>
        <v>#REF!</v>
      </c>
      <c r="E136" s="98" t="e">
        <f>'2.8.Felúj.'!#REF!+'2.8.Felúj.'!#REF!-'2.8.Felúj.'!#REF!</f>
        <v>#REF!</v>
      </c>
      <c r="F136" s="98" t="e">
        <f>'2.5.Céltart'!#REF!+'2.5.Céltart'!#REF!-'2.5.Céltart'!#REF!</f>
        <v>#REF!</v>
      </c>
      <c r="G136" s="98" t="e">
        <f>#REF!+#REF!-#REF!</f>
        <v>#REF!</v>
      </c>
      <c r="H136" s="98" t="e">
        <f>#REF!+#REF!-#REF!</f>
        <v>#REF!</v>
      </c>
      <c r="I136" s="98" t="e">
        <f>#REF!+#REF!-#REF!</f>
        <v>#REF!</v>
      </c>
      <c r="J136" t="e">
        <f>#REF!+#REF!-#REF!</f>
        <v>#REF!</v>
      </c>
      <c r="K136" s="98" t="e">
        <f>#REF!+#REF!-#REF!</f>
        <v>#REF!</v>
      </c>
    </row>
    <row r="137" spans="1:11" ht="12.75">
      <c r="A137" s="98" t="e">
        <f>#REF!+#REF!-#REF!</f>
        <v>#REF!</v>
      </c>
      <c r="B137" s="98" t="e">
        <f>#REF!+#REF!-#REF!</f>
        <v>#REF!</v>
      </c>
      <c r="C137" s="98" t="e">
        <f>#REF!+#REF!-#REF!</f>
        <v>#REF!</v>
      </c>
      <c r="D137" s="98" t="e">
        <f>#REF!+#REF!-#REF!</f>
        <v>#REF!</v>
      </c>
      <c r="E137" s="98" t="e">
        <f>'2.8.Felúj.'!#REF!+'2.8.Felúj.'!#REF!-'2.8.Felúj.'!#REF!</f>
        <v>#REF!</v>
      </c>
      <c r="F137" s="98" t="e">
        <f>'2.5.Céltart'!#REF!+'2.5.Céltart'!#REF!-'2.5.Céltart'!#REF!</f>
        <v>#REF!</v>
      </c>
      <c r="G137" s="98" t="e">
        <f>#REF!+#REF!-#REF!</f>
        <v>#REF!</v>
      </c>
      <c r="H137" s="98" t="e">
        <f>#REF!+#REF!-#REF!</f>
        <v>#REF!</v>
      </c>
      <c r="I137" s="98" t="e">
        <f>#REF!+#REF!-#REF!</f>
        <v>#REF!</v>
      </c>
      <c r="J137" t="e">
        <f>#REF!+#REF!-#REF!</f>
        <v>#REF!</v>
      </c>
      <c r="K137" s="98" t="e">
        <f>#REF!+#REF!-#REF!</f>
        <v>#REF!</v>
      </c>
    </row>
    <row r="138" spans="1:11" ht="12.75">
      <c r="A138" s="98" t="e">
        <f>#REF!+#REF!-#REF!</f>
        <v>#REF!</v>
      </c>
      <c r="B138" s="98" t="e">
        <f>#REF!+#REF!-#REF!</f>
        <v>#REF!</v>
      </c>
      <c r="C138" s="98" t="e">
        <f>#REF!+#REF!-#REF!</f>
        <v>#REF!</v>
      </c>
      <c r="D138" s="98" t="e">
        <f>#REF!+#REF!-#REF!</f>
        <v>#REF!</v>
      </c>
      <c r="E138" s="98" t="e">
        <f>'2.8.Felúj.'!#REF!+'2.8.Felúj.'!#REF!-'2.8.Felúj.'!#REF!</f>
        <v>#REF!</v>
      </c>
      <c r="F138" s="98" t="e">
        <f>'2.5.Céltart'!#REF!+'2.5.Céltart'!#REF!-'2.5.Céltart'!#REF!</f>
        <v>#REF!</v>
      </c>
      <c r="G138" s="98" t="e">
        <f>#REF!+#REF!-#REF!</f>
        <v>#REF!</v>
      </c>
      <c r="H138" s="98" t="e">
        <f>#REF!+#REF!-#REF!</f>
        <v>#REF!</v>
      </c>
      <c r="I138" s="98" t="e">
        <f>#REF!+#REF!-#REF!</f>
        <v>#REF!</v>
      </c>
      <c r="J138" t="e">
        <f>#REF!+#REF!-#REF!</f>
        <v>#REF!</v>
      </c>
      <c r="K138" s="98" t="e">
        <f>#REF!+#REF!-#REF!</f>
        <v>#REF!</v>
      </c>
    </row>
    <row r="139" spans="1:11" ht="12.75">
      <c r="A139" s="98" t="e">
        <f>#REF!+#REF!-#REF!</f>
        <v>#REF!</v>
      </c>
      <c r="B139" s="98" t="e">
        <f>#REF!+#REF!-#REF!</f>
        <v>#REF!</v>
      </c>
      <c r="C139" s="98" t="e">
        <f>#REF!+#REF!-#REF!</f>
        <v>#REF!</v>
      </c>
      <c r="D139" s="98" t="e">
        <f>#REF!+#REF!-#REF!</f>
        <v>#REF!</v>
      </c>
      <c r="E139" s="98" t="e">
        <f>'2.8.Felúj.'!#REF!+'2.8.Felúj.'!#REF!-'2.8.Felúj.'!#REF!</f>
        <v>#REF!</v>
      </c>
      <c r="F139" s="98" t="e">
        <f>'2.5.Céltart'!#REF!+'2.5.Céltart'!#REF!-'2.5.Céltart'!#REF!</f>
        <v>#REF!</v>
      </c>
      <c r="G139" s="98" t="e">
        <f>#REF!+#REF!-#REF!</f>
        <v>#REF!</v>
      </c>
      <c r="H139" s="98" t="e">
        <f>#REF!+#REF!-#REF!</f>
        <v>#REF!</v>
      </c>
      <c r="I139" s="98" t="e">
        <f>#REF!+#REF!-#REF!</f>
        <v>#REF!</v>
      </c>
      <c r="J139" t="e">
        <f>#REF!+#REF!-#REF!</f>
        <v>#REF!</v>
      </c>
      <c r="K139" s="98" t="e">
        <f>#REF!+#REF!-#REF!</f>
        <v>#REF!</v>
      </c>
    </row>
    <row r="140" spans="1:11" ht="12.75">
      <c r="A140" s="98" t="e">
        <f>#REF!+#REF!-#REF!</f>
        <v>#REF!</v>
      </c>
      <c r="B140" s="98" t="e">
        <f>#REF!+#REF!-#REF!</f>
        <v>#REF!</v>
      </c>
      <c r="C140" s="98" t="e">
        <f>#REF!+#REF!-#REF!</f>
        <v>#REF!</v>
      </c>
      <c r="D140" s="98" t="e">
        <f>#REF!+#REF!-#REF!</f>
        <v>#REF!</v>
      </c>
      <c r="E140" s="98" t="e">
        <f>'2.8.Felúj.'!#REF!+'2.8.Felúj.'!#REF!-'2.8.Felúj.'!#REF!</f>
        <v>#REF!</v>
      </c>
      <c r="F140" s="98" t="e">
        <f>'2.5.Céltart'!#REF!+'2.5.Céltart'!#REF!-'2.5.Céltart'!#REF!</f>
        <v>#REF!</v>
      </c>
      <c r="G140" s="98" t="e">
        <f>#REF!+#REF!-#REF!</f>
        <v>#REF!</v>
      </c>
      <c r="H140" s="98" t="e">
        <f>#REF!+#REF!-#REF!</f>
        <v>#REF!</v>
      </c>
      <c r="I140" s="98" t="e">
        <f>#REF!+#REF!-#REF!</f>
        <v>#REF!</v>
      </c>
      <c r="J140" t="e">
        <f>#REF!+#REF!-#REF!</f>
        <v>#REF!</v>
      </c>
      <c r="K140" s="98" t="e">
        <f>#REF!+#REF!-#REF!</f>
        <v>#REF!</v>
      </c>
    </row>
    <row r="141" spans="1:11" ht="12.75">
      <c r="A141" s="98" t="e">
        <f>#REF!+#REF!-#REF!</f>
        <v>#REF!</v>
      </c>
      <c r="B141" s="98" t="e">
        <f>#REF!+#REF!-#REF!</f>
        <v>#REF!</v>
      </c>
      <c r="C141" s="98" t="e">
        <f>#REF!+#REF!-#REF!</f>
        <v>#REF!</v>
      </c>
      <c r="D141" s="98" t="e">
        <f>#REF!+#REF!-#REF!</f>
        <v>#REF!</v>
      </c>
      <c r="E141" s="98" t="e">
        <f>'2.8.Felúj.'!#REF!+'2.8.Felúj.'!#REF!-'2.8.Felúj.'!#REF!</f>
        <v>#REF!</v>
      </c>
      <c r="F141" s="98" t="e">
        <f>'2.5.Céltart'!#REF!+'2.5.Céltart'!#REF!-'2.5.Céltart'!#REF!</f>
        <v>#REF!</v>
      </c>
      <c r="G141" s="98" t="e">
        <f>#REF!+#REF!-#REF!</f>
        <v>#REF!</v>
      </c>
      <c r="H141" s="98" t="e">
        <f>#REF!+#REF!-#REF!</f>
        <v>#REF!</v>
      </c>
      <c r="I141" s="98" t="e">
        <f>#REF!+#REF!-#REF!</f>
        <v>#REF!</v>
      </c>
      <c r="J141" t="e">
        <f>#REF!+#REF!-#REF!</f>
        <v>#REF!</v>
      </c>
      <c r="K141" s="98" t="e">
        <f>#REF!+#REF!-#REF!</f>
        <v>#REF!</v>
      </c>
    </row>
    <row r="142" spans="1:11" ht="12.75">
      <c r="A142" s="98" t="e">
        <f>#REF!+#REF!-#REF!</f>
        <v>#REF!</v>
      </c>
      <c r="B142" s="98" t="e">
        <f>#REF!+#REF!-#REF!</f>
        <v>#REF!</v>
      </c>
      <c r="C142" s="98" t="e">
        <f>#REF!+#REF!-#REF!</f>
        <v>#REF!</v>
      </c>
      <c r="D142" s="98" t="e">
        <f>#REF!+#REF!-#REF!</f>
        <v>#REF!</v>
      </c>
      <c r="E142" s="98" t="e">
        <f>'2.8.Felúj.'!#REF!+'2.8.Felúj.'!#REF!-'2.8.Felúj.'!#REF!</f>
        <v>#REF!</v>
      </c>
      <c r="F142" s="98" t="e">
        <f>'2.5.Céltart'!#REF!+'2.5.Céltart'!#REF!-'2.5.Céltart'!#REF!</f>
        <v>#REF!</v>
      </c>
      <c r="G142" s="98" t="e">
        <f>#REF!+#REF!-#REF!</f>
        <v>#REF!</v>
      </c>
      <c r="H142" s="98" t="e">
        <f>#REF!+#REF!-#REF!</f>
        <v>#REF!</v>
      </c>
      <c r="I142" s="98" t="e">
        <f>#REF!+#REF!-#REF!</f>
        <v>#REF!</v>
      </c>
      <c r="J142" t="e">
        <f>#REF!+#REF!-#REF!</f>
        <v>#REF!</v>
      </c>
      <c r="K142" s="98" t="e">
        <f>#REF!+#REF!-#REF!</f>
        <v>#REF!</v>
      </c>
    </row>
    <row r="143" spans="1:11" ht="12.75">
      <c r="A143" s="98" t="e">
        <f>#REF!+#REF!-#REF!</f>
        <v>#REF!</v>
      </c>
      <c r="B143" s="98" t="e">
        <f>#REF!+#REF!-#REF!</f>
        <v>#REF!</v>
      </c>
      <c r="C143" s="98" t="e">
        <f>#REF!+#REF!-#REF!</f>
        <v>#REF!</v>
      </c>
      <c r="D143" s="98" t="e">
        <f>#REF!+#REF!-#REF!</f>
        <v>#REF!</v>
      </c>
      <c r="E143" s="98" t="e">
        <f>'2.8.Felúj.'!#REF!+'2.8.Felúj.'!#REF!-'2.8.Felúj.'!#REF!</f>
        <v>#REF!</v>
      </c>
      <c r="F143" s="98" t="e">
        <f>'2.5.Céltart'!#REF!+'2.5.Céltart'!#REF!-'2.5.Céltart'!#REF!</f>
        <v>#REF!</v>
      </c>
      <c r="G143" s="98" t="e">
        <f>#REF!+#REF!-#REF!</f>
        <v>#REF!</v>
      </c>
      <c r="H143" s="98" t="e">
        <f>#REF!+#REF!-#REF!</f>
        <v>#REF!</v>
      </c>
      <c r="I143" s="98" t="e">
        <f>#REF!+#REF!-#REF!</f>
        <v>#REF!</v>
      </c>
      <c r="J143" t="e">
        <f>#REF!+#REF!-#REF!</f>
        <v>#REF!</v>
      </c>
      <c r="K143" s="98" t="e">
        <f>#REF!+#REF!-#REF!</f>
        <v>#REF!</v>
      </c>
    </row>
    <row r="144" spans="1:11" ht="12.75">
      <c r="A144" s="98" t="e">
        <f>#REF!+#REF!-#REF!</f>
        <v>#REF!</v>
      </c>
      <c r="B144" s="98" t="e">
        <f>#REF!+#REF!-#REF!</f>
        <v>#REF!</v>
      </c>
      <c r="C144" s="98" t="e">
        <f>#REF!+#REF!-#REF!</f>
        <v>#REF!</v>
      </c>
      <c r="D144" s="98" t="e">
        <f>#REF!+#REF!-#REF!</f>
        <v>#REF!</v>
      </c>
      <c r="E144" s="98" t="e">
        <f>'2.8.Felúj.'!#REF!+'2.8.Felúj.'!#REF!-'2.8.Felúj.'!#REF!</f>
        <v>#REF!</v>
      </c>
      <c r="F144" s="98" t="e">
        <f>'2.5.Céltart'!#REF!+'2.5.Céltart'!#REF!-'2.5.Céltart'!#REF!</f>
        <v>#REF!</v>
      </c>
      <c r="G144" s="98" t="e">
        <f>#REF!+#REF!-#REF!</f>
        <v>#REF!</v>
      </c>
      <c r="H144" s="98" t="e">
        <f>#REF!+#REF!-#REF!</f>
        <v>#REF!</v>
      </c>
      <c r="I144" s="98" t="e">
        <f>#REF!+#REF!-#REF!</f>
        <v>#REF!</v>
      </c>
      <c r="J144" t="e">
        <f>#REF!+#REF!-#REF!</f>
        <v>#REF!</v>
      </c>
      <c r="K144" s="98" t="e">
        <f>#REF!+#REF!-#REF!</f>
        <v>#REF!</v>
      </c>
    </row>
    <row r="145" spans="1:11" ht="12.75">
      <c r="A145" s="98" t="e">
        <f>#REF!+#REF!-#REF!</f>
        <v>#REF!</v>
      </c>
      <c r="B145" s="98" t="e">
        <f>#REF!+#REF!-#REF!</f>
        <v>#REF!</v>
      </c>
      <c r="C145" s="98" t="e">
        <f>#REF!+#REF!-#REF!</f>
        <v>#REF!</v>
      </c>
      <c r="D145" s="98" t="e">
        <f>#REF!+#REF!-#REF!</f>
        <v>#REF!</v>
      </c>
      <c r="E145" s="98" t="e">
        <f>'2.8.Felúj.'!#REF!+'2.8.Felúj.'!#REF!-'2.8.Felúj.'!#REF!</f>
        <v>#REF!</v>
      </c>
      <c r="F145" s="98" t="e">
        <f>'2.5.Céltart'!#REF!+'2.5.Céltart'!#REF!-'2.5.Céltart'!#REF!</f>
        <v>#REF!</v>
      </c>
      <c r="G145" s="98" t="e">
        <f>#REF!+#REF!-#REF!</f>
        <v>#REF!</v>
      </c>
      <c r="H145" s="98" t="e">
        <f>#REF!+#REF!-#REF!</f>
        <v>#REF!</v>
      </c>
      <c r="I145" s="98" t="e">
        <f>#REF!+#REF!-#REF!</f>
        <v>#REF!</v>
      </c>
      <c r="J145" t="e">
        <f>#REF!+#REF!-#REF!</f>
        <v>#REF!</v>
      </c>
      <c r="K145" s="98" t="e">
        <f>#REF!+#REF!-#REF!</f>
        <v>#REF!</v>
      </c>
    </row>
    <row r="146" spans="1:11" ht="12.75">
      <c r="A146" s="98" t="e">
        <f>#REF!+#REF!-#REF!</f>
        <v>#REF!</v>
      </c>
      <c r="B146" s="98" t="e">
        <f>#REF!+#REF!-#REF!</f>
        <v>#REF!</v>
      </c>
      <c r="C146" s="98" t="e">
        <f>#REF!+#REF!-#REF!</f>
        <v>#REF!</v>
      </c>
      <c r="D146" s="98" t="e">
        <f>#REF!+#REF!-#REF!</f>
        <v>#REF!</v>
      </c>
      <c r="E146" s="98" t="e">
        <f>'2.8.Felúj.'!#REF!+'2.8.Felúj.'!#REF!-'2.8.Felúj.'!#REF!</f>
        <v>#REF!</v>
      </c>
      <c r="F146" s="98" t="e">
        <f>'2.5.Céltart'!#REF!+'2.5.Céltart'!#REF!-'2.5.Céltart'!#REF!</f>
        <v>#REF!</v>
      </c>
      <c r="G146" s="98" t="e">
        <f>#REF!+#REF!-#REF!</f>
        <v>#REF!</v>
      </c>
      <c r="H146" s="98" t="e">
        <f>#REF!+#REF!-#REF!</f>
        <v>#REF!</v>
      </c>
      <c r="I146" s="98" t="e">
        <f>#REF!+#REF!-#REF!</f>
        <v>#REF!</v>
      </c>
      <c r="J146" t="e">
        <f>#REF!+#REF!-#REF!</f>
        <v>#REF!</v>
      </c>
      <c r="K146" s="98" t="e">
        <f>#REF!+#REF!-#REF!</f>
        <v>#REF!</v>
      </c>
    </row>
    <row r="147" spans="1:11" ht="12.75">
      <c r="A147" s="98" t="e">
        <f>#REF!+#REF!-#REF!</f>
        <v>#REF!</v>
      </c>
      <c r="B147" s="98" t="e">
        <f>#REF!+#REF!-#REF!</f>
        <v>#REF!</v>
      </c>
      <c r="C147" s="98" t="e">
        <f>#REF!+#REF!-#REF!</f>
        <v>#REF!</v>
      </c>
      <c r="D147" s="98" t="e">
        <f>#REF!+#REF!-#REF!</f>
        <v>#REF!</v>
      </c>
      <c r="E147" s="98" t="e">
        <f>'2.8.Felúj.'!#REF!+'2.8.Felúj.'!#REF!-'2.8.Felúj.'!#REF!</f>
        <v>#REF!</v>
      </c>
      <c r="F147" s="98" t="e">
        <f>'2.5.Céltart'!#REF!+'2.5.Céltart'!#REF!-'2.5.Céltart'!#REF!</f>
        <v>#REF!</v>
      </c>
      <c r="G147" s="98" t="e">
        <f>#REF!+#REF!-#REF!</f>
        <v>#REF!</v>
      </c>
      <c r="H147" s="98" t="e">
        <f>#REF!+#REF!-#REF!</f>
        <v>#REF!</v>
      </c>
      <c r="I147" s="98" t="e">
        <f>#REF!+#REF!-#REF!</f>
        <v>#REF!</v>
      </c>
      <c r="J147" t="e">
        <f>#REF!+#REF!-#REF!</f>
        <v>#REF!</v>
      </c>
      <c r="K147" s="98" t="e">
        <f>#REF!+#REF!-#REF!</f>
        <v>#REF!</v>
      </c>
    </row>
    <row r="148" spans="1:11" ht="12.75">
      <c r="A148" s="98" t="e">
        <f>#REF!+#REF!-#REF!</f>
        <v>#REF!</v>
      </c>
      <c r="B148" s="98" t="e">
        <f>#REF!+#REF!-#REF!</f>
        <v>#REF!</v>
      </c>
      <c r="C148" s="98" t="e">
        <f>#REF!+#REF!-#REF!</f>
        <v>#REF!</v>
      </c>
      <c r="D148" s="98" t="e">
        <f>#REF!+#REF!-#REF!</f>
        <v>#REF!</v>
      </c>
      <c r="E148" s="98" t="e">
        <f>'2.8.Felúj.'!#REF!+'2.8.Felúj.'!#REF!-'2.8.Felúj.'!#REF!</f>
        <v>#REF!</v>
      </c>
      <c r="F148" s="98" t="e">
        <f>'2.5.Céltart'!#REF!+'2.5.Céltart'!#REF!-'2.5.Céltart'!#REF!</f>
        <v>#REF!</v>
      </c>
      <c r="G148" s="98" t="e">
        <f>#REF!+#REF!-#REF!</f>
        <v>#REF!</v>
      </c>
      <c r="H148" s="98" t="e">
        <f>#REF!+#REF!-#REF!</f>
        <v>#REF!</v>
      </c>
      <c r="I148" s="98" t="e">
        <f>#REF!+#REF!-#REF!</f>
        <v>#REF!</v>
      </c>
      <c r="J148" t="e">
        <f>#REF!+#REF!-#REF!</f>
        <v>#REF!</v>
      </c>
      <c r="K148" s="98" t="e">
        <f>#REF!+#REF!-#REF!</f>
        <v>#REF!</v>
      </c>
    </row>
    <row r="149" spans="1:11" ht="12.75">
      <c r="A149" s="98" t="e">
        <f>#REF!+#REF!-#REF!</f>
        <v>#REF!</v>
      </c>
      <c r="B149" s="98" t="e">
        <f>#REF!+#REF!-#REF!</f>
        <v>#REF!</v>
      </c>
      <c r="C149" s="98" t="e">
        <f>#REF!+#REF!-#REF!</f>
        <v>#REF!</v>
      </c>
      <c r="D149" s="98" t="e">
        <f>#REF!+#REF!-#REF!</f>
        <v>#REF!</v>
      </c>
      <c r="E149" s="98" t="e">
        <f>'2.8.Felúj.'!#REF!+'2.8.Felúj.'!#REF!-'2.8.Felúj.'!#REF!</f>
        <v>#REF!</v>
      </c>
      <c r="F149" s="98" t="e">
        <f>'2.5.Céltart'!#REF!+'2.5.Céltart'!#REF!-'2.5.Céltart'!#REF!</f>
        <v>#REF!</v>
      </c>
      <c r="G149" s="98" t="e">
        <f>#REF!+#REF!-#REF!</f>
        <v>#REF!</v>
      </c>
      <c r="H149" s="98" t="e">
        <f>#REF!+#REF!-#REF!</f>
        <v>#REF!</v>
      </c>
      <c r="I149" s="98" t="e">
        <f>#REF!+#REF!-#REF!</f>
        <v>#REF!</v>
      </c>
      <c r="J149" t="e">
        <f>#REF!+#REF!-#REF!</f>
        <v>#REF!</v>
      </c>
      <c r="K149" s="98" t="e">
        <f>#REF!+#REF!-#REF!</f>
        <v>#REF!</v>
      </c>
    </row>
    <row r="150" spans="1:11" ht="12.75">
      <c r="A150" s="98" t="e">
        <f>#REF!+#REF!-#REF!</f>
        <v>#REF!</v>
      </c>
      <c r="B150" s="98" t="e">
        <f>#REF!+#REF!-#REF!</f>
        <v>#REF!</v>
      </c>
      <c r="C150" s="98" t="e">
        <f>#REF!+#REF!-#REF!</f>
        <v>#REF!</v>
      </c>
      <c r="D150" s="98" t="e">
        <f>#REF!+#REF!-#REF!</f>
        <v>#REF!</v>
      </c>
      <c r="E150" s="98" t="e">
        <f>'2.8.Felúj.'!#REF!+'2.8.Felúj.'!#REF!-'2.8.Felúj.'!#REF!</f>
        <v>#REF!</v>
      </c>
      <c r="F150" s="98" t="e">
        <f>'2.5.Céltart'!#REF!+'2.5.Céltart'!#REF!-'2.5.Céltart'!#REF!</f>
        <v>#REF!</v>
      </c>
      <c r="G150" s="98" t="e">
        <f>#REF!+#REF!-#REF!</f>
        <v>#REF!</v>
      </c>
      <c r="H150" s="98" t="e">
        <f>#REF!+#REF!-#REF!</f>
        <v>#REF!</v>
      </c>
      <c r="I150" s="98" t="e">
        <f>#REF!+#REF!-#REF!</f>
        <v>#REF!</v>
      </c>
      <c r="J150" t="e">
        <f>#REF!+#REF!-#REF!</f>
        <v>#REF!</v>
      </c>
      <c r="K150" s="98" t="e">
        <f>#REF!+#REF!-#REF!</f>
        <v>#REF!</v>
      </c>
    </row>
    <row r="151" spans="1:11" ht="12.75">
      <c r="A151" s="98" t="e">
        <f>#REF!+#REF!-#REF!</f>
        <v>#REF!</v>
      </c>
      <c r="B151" s="98" t="e">
        <f>#REF!+#REF!-#REF!</f>
        <v>#REF!</v>
      </c>
      <c r="C151" s="98" t="e">
        <f>#REF!+#REF!-#REF!</f>
        <v>#REF!</v>
      </c>
      <c r="D151" s="98" t="e">
        <f>#REF!+#REF!-#REF!</f>
        <v>#REF!</v>
      </c>
      <c r="E151" s="98" t="e">
        <f>'2.8.Felúj.'!#REF!+'2.8.Felúj.'!#REF!-'2.8.Felúj.'!#REF!</f>
        <v>#REF!</v>
      </c>
      <c r="F151" s="98" t="e">
        <f>'2.5.Céltart'!#REF!+'2.5.Céltart'!#REF!-'2.5.Céltart'!#REF!</f>
        <v>#REF!</v>
      </c>
      <c r="G151" s="98" t="e">
        <f>#REF!+#REF!-#REF!</f>
        <v>#REF!</v>
      </c>
      <c r="H151" s="98" t="e">
        <f>#REF!+#REF!-#REF!</f>
        <v>#REF!</v>
      </c>
      <c r="I151" s="98" t="e">
        <f>#REF!+#REF!-#REF!</f>
        <v>#REF!</v>
      </c>
      <c r="J151" t="e">
        <f>#REF!+#REF!-#REF!</f>
        <v>#REF!</v>
      </c>
      <c r="K151" s="98" t="e">
        <f>#REF!+#REF!-#REF!</f>
        <v>#REF!</v>
      </c>
    </row>
    <row r="152" spans="1:11" ht="12.75">
      <c r="A152" s="98" t="e">
        <f>#REF!+#REF!-#REF!</f>
        <v>#REF!</v>
      </c>
      <c r="B152" s="98" t="e">
        <f>#REF!+#REF!-#REF!</f>
        <v>#REF!</v>
      </c>
      <c r="C152" s="98" t="e">
        <f>#REF!+#REF!-#REF!</f>
        <v>#REF!</v>
      </c>
      <c r="D152" s="98" t="e">
        <f>#REF!+#REF!-#REF!</f>
        <v>#REF!</v>
      </c>
      <c r="E152" s="98" t="e">
        <f>'2.8.Felúj.'!#REF!+'2.8.Felúj.'!#REF!-'2.8.Felúj.'!#REF!</f>
        <v>#REF!</v>
      </c>
      <c r="F152" s="98" t="e">
        <f>'2.5.Céltart'!#REF!+'2.5.Céltart'!#REF!-'2.5.Céltart'!#REF!</f>
        <v>#REF!</v>
      </c>
      <c r="G152" s="98" t="e">
        <f>#REF!+#REF!-#REF!</f>
        <v>#REF!</v>
      </c>
      <c r="H152" s="98" t="e">
        <f>#REF!+#REF!-#REF!</f>
        <v>#REF!</v>
      </c>
      <c r="I152" s="98" t="e">
        <f>#REF!+#REF!-#REF!</f>
        <v>#REF!</v>
      </c>
      <c r="J152" t="e">
        <f>#REF!+#REF!-#REF!</f>
        <v>#REF!</v>
      </c>
      <c r="K152" s="98" t="e">
        <f>#REF!+#REF!-#REF!</f>
        <v>#REF!</v>
      </c>
    </row>
    <row r="153" spans="1:11" ht="12.75">
      <c r="A153" s="98" t="e">
        <f>#REF!+#REF!-#REF!</f>
        <v>#REF!</v>
      </c>
      <c r="B153" s="98" t="e">
        <f>#REF!+#REF!-#REF!</f>
        <v>#REF!</v>
      </c>
      <c r="C153" s="98" t="e">
        <f>#REF!+#REF!-#REF!</f>
        <v>#REF!</v>
      </c>
      <c r="D153" s="98" t="e">
        <f>#REF!+#REF!-#REF!</f>
        <v>#REF!</v>
      </c>
      <c r="E153" s="98" t="e">
        <f>'2.8.Felúj.'!#REF!+'2.8.Felúj.'!#REF!-'2.8.Felúj.'!#REF!</f>
        <v>#REF!</v>
      </c>
      <c r="F153" s="98" t="e">
        <f>'2.5.Céltart'!#REF!+'2.5.Céltart'!#REF!-'2.5.Céltart'!#REF!</f>
        <v>#REF!</v>
      </c>
      <c r="G153" s="98" t="e">
        <f>#REF!+#REF!-#REF!</f>
        <v>#REF!</v>
      </c>
      <c r="H153" s="98" t="e">
        <f>#REF!+#REF!-#REF!</f>
        <v>#REF!</v>
      </c>
      <c r="I153" s="98" t="e">
        <f>#REF!+#REF!-#REF!</f>
        <v>#REF!</v>
      </c>
      <c r="J153" t="e">
        <f>#REF!+#REF!-#REF!</f>
        <v>#REF!</v>
      </c>
      <c r="K153" s="98" t="e">
        <f>#REF!+#REF!-#REF!</f>
        <v>#REF!</v>
      </c>
    </row>
    <row r="154" spans="1:11" ht="12.75">
      <c r="A154" s="98" t="e">
        <f>#REF!+#REF!-#REF!</f>
        <v>#REF!</v>
      </c>
      <c r="B154" s="98" t="e">
        <f>#REF!+#REF!-#REF!</f>
        <v>#REF!</v>
      </c>
      <c r="C154" s="98" t="e">
        <f>#REF!+#REF!-#REF!</f>
        <v>#REF!</v>
      </c>
      <c r="D154" s="98" t="e">
        <f>#REF!+#REF!-#REF!</f>
        <v>#REF!</v>
      </c>
      <c r="E154" s="98" t="e">
        <f>'2.8.Felúj.'!#REF!+'2.8.Felúj.'!#REF!-'2.8.Felúj.'!#REF!</f>
        <v>#REF!</v>
      </c>
      <c r="F154" s="98" t="e">
        <f>'2.5.Céltart'!#REF!+'2.5.Céltart'!#REF!-'2.5.Céltart'!#REF!</f>
        <v>#REF!</v>
      </c>
      <c r="G154" s="98" t="e">
        <f>#REF!+#REF!-#REF!</f>
        <v>#REF!</v>
      </c>
      <c r="H154" s="98" t="e">
        <f>#REF!+#REF!-#REF!</f>
        <v>#REF!</v>
      </c>
      <c r="I154" s="98" t="e">
        <f>#REF!+#REF!-#REF!</f>
        <v>#REF!</v>
      </c>
      <c r="J154" t="e">
        <f>#REF!+#REF!-#REF!</f>
        <v>#REF!</v>
      </c>
      <c r="K154" s="98" t="e">
        <f>#REF!+#REF!-#REF!</f>
        <v>#REF!</v>
      </c>
    </row>
    <row r="155" spans="1:11" ht="12.75">
      <c r="A155" s="98" t="e">
        <f>#REF!+#REF!-#REF!</f>
        <v>#REF!</v>
      </c>
      <c r="B155" s="98" t="e">
        <f>#REF!+#REF!-#REF!</f>
        <v>#REF!</v>
      </c>
      <c r="C155" s="98" t="e">
        <f>#REF!+#REF!-#REF!</f>
        <v>#REF!</v>
      </c>
      <c r="D155" s="98" t="e">
        <f>#REF!+#REF!-#REF!</f>
        <v>#REF!</v>
      </c>
      <c r="E155" s="98" t="e">
        <f>'2.8.Felúj.'!#REF!+'2.8.Felúj.'!#REF!-'2.8.Felúj.'!#REF!</f>
        <v>#REF!</v>
      </c>
      <c r="F155" s="98" t="e">
        <f>'2.5.Céltart'!#REF!+'2.5.Céltart'!#REF!-'2.5.Céltart'!#REF!</f>
        <v>#REF!</v>
      </c>
      <c r="G155" s="98" t="e">
        <f>#REF!+#REF!-#REF!</f>
        <v>#REF!</v>
      </c>
      <c r="H155" s="98" t="e">
        <f>#REF!+#REF!-#REF!</f>
        <v>#REF!</v>
      </c>
      <c r="I155" s="98" t="e">
        <f>#REF!+#REF!-#REF!</f>
        <v>#REF!</v>
      </c>
      <c r="J155" t="e">
        <f>#REF!+#REF!-#REF!</f>
        <v>#REF!</v>
      </c>
      <c r="K155" s="98" t="e">
        <f>#REF!+#REF!-#REF!</f>
        <v>#REF!</v>
      </c>
    </row>
    <row r="156" spans="1:11" ht="12.75">
      <c r="A156" s="98" t="e">
        <f>#REF!+#REF!-#REF!</f>
        <v>#REF!</v>
      </c>
      <c r="B156" s="98" t="e">
        <f>#REF!+#REF!-#REF!</f>
        <v>#REF!</v>
      </c>
      <c r="C156" s="98" t="e">
        <f>#REF!+#REF!-#REF!</f>
        <v>#REF!</v>
      </c>
      <c r="D156" s="98" t="e">
        <f>#REF!+#REF!-#REF!</f>
        <v>#REF!</v>
      </c>
      <c r="E156" s="98" t="e">
        <f>'2.8.Felúj.'!#REF!+'2.8.Felúj.'!#REF!-'2.8.Felúj.'!#REF!</f>
        <v>#REF!</v>
      </c>
      <c r="F156" s="98" t="e">
        <f>'2.5.Céltart'!#REF!+'2.5.Céltart'!#REF!-'2.5.Céltart'!#REF!</f>
        <v>#REF!</v>
      </c>
      <c r="G156" s="98" t="e">
        <f>#REF!+#REF!-#REF!</f>
        <v>#REF!</v>
      </c>
      <c r="H156" s="98" t="e">
        <f>#REF!+#REF!-#REF!</f>
        <v>#REF!</v>
      </c>
      <c r="I156" s="98" t="e">
        <f>#REF!+#REF!-#REF!</f>
        <v>#REF!</v>
      </c>
      <c r="J156" t="e">
        <f>#REF!+#REF!-#REF!</f>
        <v>#REF!</v>
      </c>
      <c r="K156" s="98" t="e">
        <f>#REF!+#REF!-#REF!</f>
        <v>#REF!</v>
      </c>
    </row>
    <row r="157" spans="1:11" ht="12.75">
      <c r="A157" s="98" t="e">
        <f>#REF!+#REF!-#REF!</f>
        <v>#REF!</v>
      </c>
      <c r="B157" s="98" t="e">
        <f>#REF!+#REF!-#REF!</f>
        <v>#REF!</v>
      </c>
      <c r="C157" s="98" t="e">
        <f>#REF!+#REF!-#REF!</f>
        <v>#REF!</v>
      </c>
      <c r="D157" s="98" t="e">
        <f>#REF!+#REF!-#REF!</f>
        <v>#REF!</v>
      </c>
      <c r="E157" s="98" t="e">
        <f>'2.8.Felúj.'!#REF!+'2.8.Felúj.'!#REF!-'2.8.Felúj.'!#REF!</f>
        <v>#REF!</v>
      </c>
      <c r="F157" s="98" t="e">
        <f>'2.5.Céltart'!#REF!+'2.5.Céltart'!#REF!-'2.5.Céltart'!#REF!</f>
        <v>#REF!</v>
      </c>
      <c r="G157" s="98" t="e">
        <f>#REF!+#REF!-#REF!</f>
        <v>#REF!</v>
      </c>
      <c r="H157" s="98" t="e">
        <f>#REF!+#REF!-#REF!</f>
        <v>#REF!</v>
      </c>
      <c r="I157" s="98" t="e">
        <f>#REF!+#REF!-#REF!</f>
        <v>#REF!</v>
      </c>
      <c r="J157" t="e">
        <f>#REF!+#REF!-#REF!</f>
        <v>#REF!</v>
      </c>
      <c r="K157" s="98" t="e">
        <f>#REF!+#REF!-#REF!</f>
        <v>#REF!</v>
      </c>
    </row>
    <row r="158" spans="1:11" ht="12.75">
      <c r="A158" s="98" t="e">
        <f>#REF!+#REF!-#REF!</f>
        <v>#REF!</v>
      </c>
      <c r="B158" s="98" t="e">
        <f>#REF!+#REF!-#REF!</f>
        <v>#REF!</v>
      </c>
      <c r="C158" s="98" t="e">
        <f>#REF!+#REF!-#REF!</f>
        <v>#REF!</v>
      </c>
      <c r="D158" s="98" t="e">
        <f>#REF!+#REF!-#REF!</f>
        <v>#REF!</v>
      </c>
      <c r="E158" s="98" t="e">
        <f>'2.8.Felúj.'!#REF!+'2.8.Felúj.'!#REF!-'2.8.Felúj.'!#REF!</f>
        <v>#REF!</v>
      </c>
      <c r="F158" s="98" t="e">
        <f>'2.5.Céltart'!#REF!+'2.5.Céltart'!#REF!-'2.5.Céltart'!#REF!</f>
        <v>#REF!</v>
      </c>
      <c r="G158" s="98" t="e">
        <f>#REF!+#REF!-#REF!</f>
        <v>#REF!</v>
      </c>
      <c r="H158" s="98" t="e">
        <f>#REF!+#REF!-#REF!</f>
        <v>#REF!</v>
      </c>
      <c r="I158" s="98" t="e">
        <f>#REF!+#REF!-#REF!</f>
        <v>#REF!</v>
      </c>
      <c r="J158" t="e">
        <f>#REF!+#REF!-#REF!</f>
        <v>#REF!</v>
      </c>
      <c r="K158" s="98" t="e">
        <f>#REF!+#REF!-#REF!</f>
        <v>#REF!</v>
      </c>
    </row>
    <row r="159" spans="1:11" ht="12.75">
      <c r="A159" s="98" t="e">
        <f>#REF!+#REF!-#REF!</f>
        <v>#REF!</v>
      </c>
      <c r="B159" s="98" t="e">
        <f>#REF!+#REF!-#REF!</f>
        <v>#REF!</v>
      </c>
      <c r="C159" s="98" t="e">
        <f>#REF!+#REF!-#REF!</f>
        <v>#REF!</v>
      </c>
      <c r="D159" s="98" t="e">
        <f>#REF!+#REF!-#REF!</f>
        <v>#REF!</v>
      </c>
      <c r="E159" s="98" t="e">
        <f>'2.8.Felúj.'!#REF!+'2.8.Felúj.'!#REF!-'2.8.Felúj.'!#REF!</f>
        <v>#REF!</v>
      </c>
      <c r="F159" s="98" t="e">
        <f>'2.5.Céltart'!#REF!+'2.5.Céltart'!#REF!-'2.5.Céltart'!#REF!</f>
        <v>#REF!</v>
      </c>
      <c r="G159" s="98" t="e">
        <f>#REF!+#REF!-#REF!</f>
        <v>#REF!</v>
      </c>
      <c r="H159" s="98" t="e">
        <f>#REF!+#REF!-#REF!</f>
        <v>#REF!</v>
      </c>
      <c r="I159" s="98" t="e">
        <f>#REF!+#REF!-#REF!</f>
        <v>#REF!</v>
      </c>
      <c r="J159" t="e">
        <f>#REF!+#REF!-#REF!</f>
        <v>#REF!</v>
      </c>
      <c r="K159" s="98" t="e">
        <f>#REF!+#REF!-#REF!</f>
        <v>#REF!</v>
      </c>
    </row>
    <row r="160" spans="1:11" ht="12.75">
      <c r="A160" s="98" t="e">
        <f>#REF!+#REF!-#REF!</f>
        <v>#REF!</v>
      </c>
      <c r="B160" s="98" t="e">
        <f>#REF!+#REF!-#REF!</f>
        <v>#REF!</v>
      </c>
      <c r="C160" s="98" t="e">
        <f>#REF!+#REF!-#REF!</f>
        <v>#REF!</v>
      </c>
      <c r="D160" s="98" t="e">
        <f>#REF!+#REF!-#REF!</f>
        <v>#REF!</v>
      </c>
      <c r="E160" s="98" t="e">
        <f>'2.8.Felúj.'!#REF!+'2.8.Felúj.'!#REF!-'2.8.Felúj.'!#REF!</f>
        <v>#REF!</v>
      </c>
      <c r="F160" s="98" t="e">
        <f>'2.5.Céltart'!#REF!+'2.5.Céltart'!#REF!-'2.5.Céltart'!#REF!</f>
        <v>#REF!</v>
      </c>
      <c r="G160" s="98" t="e">
        <f>#REF!+#REF!-#REF!</f>
        <v>#REF!</v>
      </c>
      <c r="H160" s="98" t="e">
        <f>#REF!+#REF!-#REF!</f>
        <v>#REF!</v>
      </c>
      <c r="I160" s="98" t="e">
        <f>#REF!+#REF!-#REF!</f>
        <v>#REF!</v>
      </c>
      <c r="J160" t="e">
        <f>#REF!+#REF!-#REF!</f>
        <v>#REF!</v>
      </c>
      <c r="K160" s="98" t="e">
        <f>#REF!+#REF!-#REF!</f>
        <v>#REF!</v>
      </c>
    </row>
    <row r="161" spans="1:11" ht="12.75">
      <c r="A161" s="98" t="e">
        <f>#REF!+#REF!-#REF!</f>
        <v>#REF!</v>
      </c>
      <c r="B161" s="98" t="e">
        <f>#REF!+#REF!-#REF!</f>
        <v>#REF!</v>
      </c>
      <c r="C161" s="98" t="e">
        <f>#REF!+#REF!-#REF!</f>
        <v>#REF!</v>
      </c>
      <c r="D161" s="98" t="e">
        <f>#REF!+#REF!-#REF!</f>
        <v>#REF!</v>
      </c>
      <c r="E161" s="98" t="e">
        <f>'2.8.Felúj.'!#REF!+'2.8.Felúj.'!#REF!-'2.8.Felúj.'!#REF!</f>
        <v>#REF!</v>
      </c>
      <c r="F161" s="98" t="e">
        <f>'2.5.Céltart'!#REF!+'2.5.Céltart'!#REF!-'2.5.Céltart'!#REF!</f>
        <v>#REF!</v>
      </c>
      <c r="G161" s="98" t="e">
        <f>#REF!+#REF!-#REF!</f>
        <v>#REF!</v>
      </c>
      <c r="H161" s="98" t="e">
        <f>#REF!+#REF!-#REF!</f>
        <v>#REF!</v>
      </c>
      <c r="I161" s="98" t="e">
        <f>#REF!+#REF!-#REF!</f>
        <v>#REF!</v>
      </c>
      <c r="J161" t="e">
        <f>#REF!+#REF!-#REF!</f>
        <v>#REF!</v>
      </c>
      <c r="K161" s="98" t="e">
        <f>#REF!+#REF!-#REF!</f>
        <v>#REF!</v>
      </c>
    </row>
    <row r="162" spans="1:11" ht="12.75">
      <c r="A162" s="98" t="e">
        <f>#REF!+#REF!-#REF!</f>
        <v>#REF!</v>
      </c>
      <c r="B162" s="98" t="e">
        <f>#REF!+#REF!-#REF!</f>
        <v>#REF!</v>
      </c>
      <c r="C162" s="98" t="e">
        <f>#REF!+#REF!-#REF!</f>
        <v>#REF!</v>
      </c>
      <c r="D162" s="98" t="e">
        <f>#REF!+#REF!-#REF!</f>
        <v>#REF!</v>
      </c>
      <c r="E162" s="98" t="e">
        <f>'2.8.Felúj.'!#REF!+'2.8.Felúj.'!#REF!-'2.8.Felúj.'!#REF!</f>
        <v>#REF!</v>
      </c>
      <c r="F162" s="98" t="e">
        <f>'2.5.Céltart'!#REF!+'2.5.Céltart'!#REF!-'2.5.Céltart'!#REF!</f>
        <v>#REF!</v>
      </c>
      <c r="G162" s="98" t="e">
        <f>#REF!+#REF!-#REF!</f>
        <v>#REF!</v>
      </c>
      <c r="H162" s="98" t="e">
        <f>#REF!+#REF!-#REF!</f>
        <v>#REF!</v>
      </c>
      <c r="I162" s="98" t="e">
        <f>#REF!+#REF!-#REF!</f>
        <v>#REF!</v>
      </c>
      <c r="J162" t="e">
        <f>#REF!+#REF!-#REF!</f>
        <v>#REF!</v>
      </c>
      <c r="K162" s="98" t="e">
        <f>#REF!+#REF!-#REF!</f>
        <v>#REF!</v>
      </c>
    </row>
    <row r="163" spans="1:11" ht="12.75">
      <c r="A163" s="98" t="e">
        <f>#REF!+#REF!-#REF!</f>
        <v>#REF!</v>
      </c>
      <c r="B163" s="98" t="e">
        <f>#REF!+#REF!-#REF!</f>
        <v>#REF!</v>
      </c>
      <c r="C163" s="98" t="e">
        <f>#REF!+#REF!-#REF!</f>
        <v>#REF!</v>
      </c>
      <c r="D163" s="98" t="e">
        <f>#REF!+#REF!-#REF!</f>
        <v>#REF!</v>
      </c>
      <c r="E163" s="98" t="e">
        <f>'2.8.Felúj.'!#REF!+'2.8.Felúj.'!#REF!-'2.8.Felúj.'!#REF!</f>
        <v>#REF!</v>
      </c>
      <c r="F163" s="98" t="e">
        <f>'2.5.Céltart'!#REF!+'2.5.Céltart'!#REF!-'2.5.Céltart'!#REF!</f>
        <v>#REF!</v>
      </c>
      <c r="G163" s="98" t="e">
        <f>#REF!+#REF!-#REF!</f>
        <v>#REF!</v>
      </c>
      <c r="H163" s="98" t="e">
        <f>#REF!+#REF!-#REF!</f>
        <v>#REF!</v>
      </c>
      <c r="I163" s="98" t="e">
        <f>#REF!+#REF!-#REF!</f>
        <v>#REF!</v>
      </c>
      <c r="J163" t="e">
        <f>#REF!+#REF!-#REF!</f>
        <v>#REF!</v>
      </c>
      <c r="K163" s="98" t="e">
        <f>#REF!+#REF!-#REF!</f>
        <v>#REF!</v>
      </c>
    </row>
    <row r="164" spans="1:11" ht="12.75">
      <c r="A164" s="98" t="e">
        <f>#REF!+#REF!-#REF!</f>
        <v>#REF!</v>
      </c>
      <c r="B164" s="98" t="e">
        <f>#REF!+#REF!-#REF!</f>
        <v>#REF!</v>
      </c>
      <c r="C164" s="98" t="e">
        <f>#REF!+#REF!-#REF!</f>
        <v>#REF!</v>
      </c>
      <c r="D164" s="98" t="e">
        <f>#REF!+#REF!-#REF!</f>
        <v>#REF!</v>
      </c>
      <c r="E164" s="98" t="e">
        <f>'2.8.Felúj.'!#REF!+'2.8.Felúj.'!#REF!-'2.8.Felúj.'!#REF!</f>
        <v>#REF!</v>
      </c>
      <c r="F164" s="98" t="e">
        <f>'2.5.Céltart'!#REF!+'2.5.Céltart'!#REF!-'2.5.Céltart'!#REF!</f>
        <v>#REF!</v>
      </c>
      <c r="G164" s="98" t="e">
        <f>#REF!+#REF!-#REF!</f>
        <v>#REF!</v>
      </c>
      <c r="H164" s="98" t="e">
        <f>#REF!+#REF!-#REF!</f>
        <v>#REF!</v>
      </c>
      <c r="I164" s="98" t="e">
        <f>#REF!+#REF!-#REF!</f>
        <v>#REF!</v>
      </c>
      <c r="J164" t="e">
        <f>#REF!+#REF!-#REF!</f>
        <v>#REF!</v>
      </c>
      <c r="K164" s="98" t="e">
        <f>#REF!+#REF!-#REF!</f>
        <v>#REF!</v>
      </c>
    </row>
    <row r="165" spans="1:11" ht="12.75">
      <c r="A165" s="98" t="e">
        <f>#REF!+#REF!-#REF!</f>
        <v>#REF!</v>
      </c>
      <c r="B165" s="98" t="e">
        <f>#REF!+#REF!-#REF!</f>
        <v>#REF!</v>
      </c>
      <c r="C165" s="98" t="e">
        <f>#REF!+#REF!-#REF!</f>
        <v>#REF!</v>
      </c>
      <c r="D165" s="98" t="e">
        <f>#REF!+#REF!-#REF!</f>
        <v>#REF!</v>
      </c>
      <c r="E165" s="98" t="e">
        <f>'2.8.Felúj.'!#REF!+'2.8.Felúj.'!#REF!-'2.8.Felúj.'!#REF!</f>
        <v>#REF!</v>
      </c>
      <c r="F165" s="98" t="e">
        <f>'2.5.Céltart'!#REF!+'2.5.Céltart'!#REF!-'2.5.Céltart'!#REF!</f>
        <v>#REF!</v>
      </c>
      <c r="G165" s="98" t="e">
        <f>#REF!+#REF!-#REF!</f>
        <v>#REF!</v>
      </c>
      <c r="H165" s="98" t="e">
        <f>#REF!+#REF!-#REF!</f>
        <v>#REF!</v>
      </c>
      <c r="I165" s="98" t="e">
        <f>#REF!+#REF!-#REF!</f>
        <v>#REF!</v>
      </c>
      <c r="J165" t="e">
        <f>#REF!+#REF!-#REF!</f>
        <v>#REF!</v>
      </c>
      <c r="K165" s="98" t="e">
        <f>#REF!+#REF!-#REF!</f>
        <v>#REF!</v>
      </c>
    </row>
    <row r="166" spans="1:11" ht="12.75">
      <c r="A166" s="98" t="e">
        <f>#REF!+#REF!-#REF!</f>
        <v>#REF!</v>
      </c>
      <c r="B166" s="98" t="e">
        <f>#REF!+#REF!-#REF!</f>
        <v>#REF!</v>
      </c>
      <c r="C166" s="98" t="e">
        <f>#REF!+#REF!-#REF!</f>
        <v>#REF!</v>
      </c>
      <c r="D166" s="98" t="e">
        <f>#REF!+#REF!-#REF!</f>
        <v>#REF!</v>
      </c>
      <c r="E166" s="98" t="e">
        <f>'2.8.Felúj.'!#REF!+'2.8.Felúj.'!#REF!-'2.8.Felúj.'!#REF!</f>
        <v>#REF!</v>
      </c>
      <c r="F166" s="98" t="e">
        <f>'2.5.Céltart'!#REF!+'2.5.Céltart'!#REF!-'2.5.Céltart'!#REF!</f>
        <v>#REF!</v>
      </c>
      <c r="G166" s="98" t="e">
        <f>#REF!+#REF!-#REF!</f>
        <v>#REF!</v>
      </c>
      <c r="H166" s="98" t="e">
        <f>#REF!+#REF!-#REF!</f>
        <v>#REF!</v>
      </c>
      <c r="I166" s="98" t="e">
        <f>#REF!+#REF!-#REF!</f>
        <v>#REF!</v>
      </c>
      <c r="J166" t="e">
        <f>#REF!+#REF!-#REF!</f>
        <v>#REF!</v>
      </c>
      <c r="K166" s="98" t="e">
        <f>#REF!+#REF!-#REF!</f>
        <v>#REF!</v>
      </c>
    </row>
    <row r="167" spans="1:11" ht="12.75">
      <c r="A167" s="98" t="e">
        <f>#REF!+#REF!-#REF!</f>
        <v>#REF!</v>
      </c>
      <c r="B167" s="98" t="e">
        <f>#REF!+#REF!-#REF!</f>
        <v>#REF!</v>
      </c>
      <c r="C167" s="98" t="e">
        <f>#REF!+#REF!-#REF!</f>
        <v>#REF!</v>
      </c>
      <c r="D167" s="98" t="e">
        <f>#REF!+#REF!-#REF!</f>
        <v>#REF!</v>
      </c>
      <c r="E167" s="98" t="e">
        <f>'2.8.Felúj.'!#REF!+'2.8.Felúj.'!#REF!-'2.8.Felúj.'!#REF!</f>
        <v>#REF!</v>
      </c>
      <c r="F167" s="98" t="e">
        <f>'2.5.Céltart'!#REF!+'2.5.Céltart'!#REF!-'2.5.Céltart'!#REF!</f>
        <v>#REF!</v>
      </c>
      <c r="G167" s="98" t="e">
        <f>#REF!+#REF!-#REF!</f>
        <v>#REF!</v>
      </c>
      <c r="H167" s="98" t="e">
        <f>#REF!+#REF!-#REF!</f>
        <v>#REF!</v>
      </c>
      <c r="I167" s="98" t="e">
        <f>#REF!+#REF!-#REF!</f>
        <v>#REF!</v>
      </c>
      <c r="J167" t="e">
        <f>#REF!+#REF!-#REF!</f>
        <v>#REF!</v>
      </c>
      <c r="K167" s="98" t="e">
        <f>#REF!+#REF!-#REF!</f>
        <v>#REF!</v>
      </c>
    </row>
    <row r="168" spans="1:11" ht="12.75">
      <c r="A168" s="98" t="e">
        <f>#REF!+#REF!-#REF!</f>
        <v>#REF!</v>
      </c>
      <c r="B168" s="98" t="e">
        <f>#REF!+#REF!-#REF!</f>
        <v>#REF!</v>
      </c>
      <c r="C168" s="98" t="e">
        <f>#REF!+#REF!-#REF!</f>
        <v>#REF!</v>
      </c>
      <c r="D168" s="98" t="e">
        <f>#REF!+#REF!-#REF!</f>
        <v>#REF!</v>
      </c>
      <c r="E168" s="98" t="e">
        <f>'2.8.Felúj.'!#REF!+'2.8.Felúj.'!#REF!-'2.8.Felúj.'!#REF!</f>
        <v>#REF!</v>
      </c>
      <c r="F168" s="98" t="e">
        <f>'2.5.Céltart'!#REF!+'2.5.Céltart'!#REF!-'2.5.Céltart'!#REF!</f>
        <v>#REF!</v>
      </c>
      <c r="G168" s="98" t="e">
        <f>#REF!+#REF!-#REF!</f>
        <v>#REF!</v>
      </c>
      <c r="H168" s="98" t="e">
        <f>#REF!+#REF!-#REF!</f>
        <v>#REF!</v>
      </c>
      <c r="I168" s="98" t="e">
        <f>#REF!+#REF!-#REF!</f>
        <v>#REF!</v>
      </c>
      <c r="J168" t="e">
        <f>#REF!+#REF!-#REF!</f>
        <v>#REF!</v>
      </c>
      <c r="K168" s="98" t="e">
        <f>#REF!+#REF!-#REF!</f>
        <v>#REF!</v>
      </c>
    </row>
    <row r="169" spans="1:11" ht="12.75">
      <c r="A169" s="98" t="e">
        <f>#REF!+#REF!-#REF!</f>
        <v>#REF!</v>
      </c>
      <c r="B169" s="98" t="e">
        <f>#REF!+#REF!-#REF!</f>
        <v>#REF!</v>
      </c>
      <c r="C169" s="98" t="e">
        <f>#REF!+#REF!-#REF!</f>
        <v>#REF!</v>
      </c>
      <c r="D169" s="98" t="e">
        <f>#REF!+#REF!-#REF!</f>
        <v>#REF!</v>
      </c>
      <c r="E169" s="98" t="e">
        <f>'2.8.Felúj.'!#REF!+'2.8.Felúj.'!#REF!-'2.8.Felúj.'!#REF!</f>
        <v>#REF!</v>
      </c>
      <c r="F169" s="98" t="e">
        <f>'2.5.Céltart'!#REF!+'2.5.Céltart'!#REF!-'2.5.Céltart'!#REF!</f>
        <v>#REF!</v>
      </c>
      <c r="G169" s="98" t="e">
        <f>#REF!+#REF!-#REF!</f>
        <v>#REF!</v>
      </c>
      <c r="H169" s="98" t="e">
        <f>#REF!+#REF!-#REF!</f>
        <v>#REF!</v>
      </c>
      <c r="I169" s="98" t="e">
        <f>#REF!+#REF!-#REF!</f>
        <v>#REF!</v>
      </c>
      <c r="J169" t="e">
        <f>#REF!+#REF!-#REF!</f>
        <v>#REF!</v>
      </c>
      <c r="K169" s="98" t="e">
        <f>#REF!+#REF!-#REF!</f>
        <v>#REF!</v>
      </c>
    </row>
    <row r="170" spans="1:11" ht="12.75">
      <c r="A170" s="98" t="e">
        <f>#REF!+#REF!-#REF!</f>
        <v>#REF!</v>
      </c>
      <c r="B170" s="98" t="e">
        <f>#REF!+#REF!-#REF!</f>
        <v>#REF!</v>
      </c>
      <c r="C170" s="98" t="e">
        <f>#REF!+#REF!-#REF!</f>
        <v>#REF!</v>
      </c>
      <c r="D170" s="98" t="e">
        <f>#REF!+#REF!-#REF!</f>
        <v>#REF!</v>
      </c>
      <c r="E170" s="98" t="e">
        <f>'2.8.Felúj.'!#REF!+'2.8.Felúj.'!#REF!-'2.8.Felúj.'!#REF!</f>
        <v>#REF!</v>
      </c>
      <c r="F170" s="98" t="e">
        <f>'2.5.Céltart'!#REF!+'2.5.Céltart'!#REF!-'2.5.Céltart'!#REF!</f>
        <v>#REF!</v>
      </c>
      <c r="G170" s="98" t="e">
        <f>#REF!+#REF!-#REF!</f>
        <v>#REF!</v>
      </c>
      <c r="H170" s="98" t="e">
        <f>#REF!+#REF!-#REF!</f>
        <v>#REF!</v>
      </c>
      <c r="I170" s="98" t="e">
        <f>#REF!+#REF!-#REF!</f>
        <v>#REF!</v>
      </c>
      <c r="J170" t="e">
        <f>#REF!+#REF!-#REF!</f>
        <v>#REF!</v>
      </c>
      <c r="K170" s="98" t="e">
        <f>#REF!+#REF!-#REF!</f>
        <v>#REF!</v>
      </c>
    </row>
    <row r="171" spans="1:11" ht="12.75">
      <c r="A171" s="98" t="e">
        <f>#REF!+#REF!-#REF!</f>
        <v>#REF!</v>
      </c>
      <c r="B171" s="98" t="e">
        <f>#REF!+#REF!-#REF!</f>
        <v>#REF!</v>
      </c>
      <c r="C171" s="98" t="e">
        <f>#REF!+#REF!-#REF!</f>
        <v>#REF!</v>
      </c>
      <c r="D171" s="98" t="e">
        <f>#REF!+#REF!-#REF!</f>
        <v>#REF!</v>
      </c>
      <c r="E171" s="98" t="e">
        <f>'2.8.Felúj.'!#REF!+'2.8.Felúj.'!#REF!-'2.8.Felúj.'!#REF!</f>
        <v>#REF!</v>
      </c>
      <c r="F171" s="98" t="e">
        <f>'2.5.Céltart'!#REF!+'2.5.Céltart'!#REF!-'2.5.Céltart'!#REF!</f>
        <v>#REF!</v>
      </c>
      <c r="G171" s="98" t="e">
        <f>#REF!+#REF!-#REF!</f>
        <v>#REF!</v>
      </c>
      <c r="H171" s="98" t="e">
        <f>#REF!+#REF!-#REF!</f>
        <v>#REF!</v>
      </c>
      <c r="I171" s="98" t="e">
        <f>#REF!+#REF!-#REF!</f>
        <v>#REF!</v>
      </c>
      <c r="J171" t="e">
        <f>#REF!+#REF!-#REF!</f>
        <v>#REF!</v>
      </c>
      <c r="K171" s="98" t="e">
        <f>#REF!+#REF!-#REF!</f>
        <v>#REF!</v>
      </c>
    </row>
    <row r="172" spans="1:11" ht="12.75">
      <c r="A172" s="98" t="e">
        <f>#REF!+#REF!-#REF!</f>
        <v>#REF!</v>
      </c>
      <c r="B172" s="98" t="e">
        <f>#REF!+#REF!-#REF!</f>
        <v>#REF!</v>
      </c>
      <c r="C172" s="98" t="e">
        <f>#REF!+#REF!-#REF!</f>
        <v>#REF!</v>
      </c>
      <c r="D172" s="98" t="e">
        <f>#REF!+#REF!-#REF!</f>
        <v>#REF!</v>
      </c>
      <c r="E172" s="98" t="e">
        <f>'2.8.Felúj.'!#REF!+'2.8.Felúj.'!#REF!-'2.8.Felúj.'!#REF!</f>
        <v>#REF!</v>
      </c>
      <c r="F172" s="98" t="e">
        <f>'2.5.Céltart'!#REF!+'2.5.Céltart'!#REF!-'2.5.Céltart'!#REF!</f>
        <v>#REF!</v>
      </c>
      <c r="G172" s="98" t="e">
        <f>#REF!+#REF!-#REF!</f>
        <v>#REF!</v>
      </c>
      <c r="H172" s="98" t="e">
        <f>#REF!+#REF!-#REF!</f>
        <v>#REF!</v>
      </c>
      <c r="I172" s="98" t="e">
        <f>#REF!+#REF!-#REF!</f>
        <v>#REF!</v>
      </c>
      <c r="J172" t="e">
        <f>#REF!+#REF!-#REF!</f>
        <v>#REF!</v>
      </c>
      <c r="K172" s="98" t="e">
        <f>#REF!+#REF!-#REF!</f>
        <v>#REF!</v>
      </c>
    </row>
    <row r="173" spans="1:11" ht="12.75">
      <c r="A173" s="98" t="e">
        <f>#REF!+#REF!-#REF!</f>
        <v>#REF!</v>
      </c>
      <c r="B173" s="98" t="e">
        <f>#REF!+#REF!-#REF!</f>
        <v>#REF!</v>
      </c>
      <c r="C173" s="98" t="e">
        <f>#REF!+#REF!-#REF!</f>
        <v>#REF!</v>
      </c>
      <c r="D173" s="98" t="e">
        <f>#REF!+#REF!-#REF!</f>
        <v>#REF!</v>
      </c>
      <c r="E173" s="98" t="e">
        <f>'2.8.Felúj.'!#REF!+'2.8.Felúj.'!#REF!-'2.8.Felúj.'!#REF!</f>
        <v>#REF!</v>
      </c>
      <c r="F173" s="98" t="e">
        <f>'2.5.Céltart'!#REF!+'2.5.Céltart'!#REF!-'2.5.Céltart'!#REF!</f>
        <v>#REF!</v>
      </c>
      <c r="G173" s="98" t="e">
        <f>#REF!+#REF!-#REF!</f>
        <v>#REF!</v>
      </c>
      <c r="H173" s="98" t="e">
        <f>#REF!+#REF!-#REF!</f>
        <v>#REF!</v>
      </c>
      <c r="I173" s="98" t="e">
        <f>#REF!+#REF!-#REF!</f>
        <v>#REF!</v>
      </c>
      <c r="J173" t="e">
        <f>#REF!+#REF!-#REF!</f>
        <v>#REF!</v>
      </c>
      <c r="K173" s="98" t="e">
        <f>#REF!+#REF!-#REF!</f>
        <v>#REF!</v>
      </c>
    </row>
    <row r="174" spans="1:11" ht="12.75">
      <c r="A174" s="98" t="e">
        <f>#REF!+#REF!-#REF!</f>
        <v>#REF!</v>
      </c>
      <c r="B174" s="98" t="e">
        <f>#REF!+#REF!-#REF!</f>
        <v>#REF!</v>
      </c>
      <c r="C174" s="98" t="e">
        <f>#REF!+#REF!-#REF!</f>
        <v>#REF!</v>
      </c>
      <c r="D174" s="98" t="e">
        <f>#REF!+#REF!-#REF!</f>
        <v>#REF!</v>
      </c>
      <c r="E174" s="98" t="e">
        <f>'2.8.Felúj.'!#REF!+'2.8.Felúj.'!#REF!-'2.8.Felúj.'!#REF!</f>
        <v>#REF!</v>
      </c>
      <c r="F174" s="98" t="e">
        <f>'2.5.Céltart'!#REF!+'2.5.Céltart'!#REF!-'2.5.Céltart'!#REF!</f>
        <v>#REF!</v>
      </c>
      <c r="G174" s="98" t="e">
        <f>#REF!+#REF!-#REF!</f>
        <v>#REF!</v>
      </c>
      <c r="H174" s="98" t="e">
        <f>#REF!+#REF!-#REF!</f>
        <v>#REF!</v>
      </c>
      <c r="I174" s="98" t="e">
        <f>#REF!+#REF!-#REF!</f>
        <v>#REF!</v>
      </c>
      <c r="J174" t="e">
        <f>#REF!+#REF!-#REF!</f>
        <v>#REF!</v>
      </c>
      <c r="K174" s="98" t="e">
        <f>#REF!+#REF!-#REF!</f>
        <v>#REF!</v>
      </c>
    </row>
    <row r="175" spans="1:11" ht="12.75">
      <c r="A175" s="98" t="e">
        <f>#REF!+#REF!-#REF!</f>
        <v>#REF!</v>
      </c>
      <c r="B175" s="98" t="e">
        <f>#REF!+#REF!-#REF!</f>
        <v>#REF!</v>
      </c>
      <c r="C175" s="98" t="e">
        <f>#REF!+#REF!-#REF!</f>
        <v>#REF!</v>
      </c>
      <c r="D175" s="98" t="e">
        <f>#REF!+#REF!-#REF!</f>
        <v>#REF!</v>
      </c>
      <c r="E175" s="98" t="e">
        <f>'2.8.Felúj.'!#REF!+'2.8.Felúj.'!#REF!-'2.8.Felúj.'!#REF!</f>
        <v>#REF!</v>
      </c>
      <c r="F175" s="98" t="e">
        <f>'2.5.Céltart'!#REF!+'2.5.Céltart'!#REF!-'2.5.Céltart'!#REF!</f>
        <v>#REF!</v>
      </c>
      <c r="G175" s="98" t="e">
        <f>#REF!+#REF!-#REF!</f>
        <v>#REF!</v>
      </c>
      <c r="H175" s="98" t="e">
        <f>#REF!+#REF!-#REF!</f>
        <v>#REF!</v>
      </c>
      <c r="I175" s="98" t="e">
        <f>#REF!+#REF!-#REF!</f>
        <v>#REF!</v>
      </c>
      <c r="J175" t="e">
        <f>#REF!+#REF!-#REF!</f>
        <v>#REF!</v>
      </c>
      <c r="K175" s="98" t="e">
        <f>#REF!+#REF!-#REF!</f>
        <v>#REF!</v>
      </c>
    </row>
    <row r="176" spans="1:11" ht="12.75">
      <c r="A176" s="98" t="e">
        <f>#REF!+#REF!-#REF!</f>
        <v>#REF!</v>
      </c>
      <c r="B176" s="98" t="e">
        <f>#REF!+#REF!-#REF!</f>
        <v>#REF!</v>
      </c>
      <c r="C176" s="98" t="e">
        <f>#REF!+#REF!-#REF!</f>
        <v>#REF!</v>
      </c>
      <c r="D176" s="98" t="e">
        <f>#REF!+#REF!-#REF!</f>
        <v>#REF!</v>
      </c>
      <c r="E176" s="98" t="e">
        <f>'2.8.Felúj.'!#REF!+'2.8.Felúj.'!#REF!-'2.8.Felúj.'!#REF!</f>
        <v>#REF!</v>
      </c>
      <c r="F176" s="98" t="e">
        <f>'2.5.Céltart'!#REF!+'2.5.Céltart'!#REF!-'2.5.Céltart'!#REF!</f>
        <v>#REF!</v>
      </c>
      <c r="G176" s="98" t="e">
        <f>#REF!+#REF!-#REF!</f>
        <v>#REF!</v>
      </c>
      <c r="H176" s="98" t="e">
        <f>#REF!+#REF!-#REF!</f>
        <v>#REF!</v>
      </c>
      <c r="I176" s="98" t="e">
        <f>#REF!+#REF!-#REF!</f>
        <v>#REF!</v>
      </c>
      <c r="J176" t="e">
        <f>#REF!+#REF!-#REF!</f>
        <v>#REF!</v>
      </c>
      <c r="K176" s="98" t="e">
        <f>#REF!+#REF!-#REF!</f>
        <v>#REF!</v>
      </c>
    </row>
    <row r="177" spans="1:11" ht="12.75">
      <c r="A177" s="98" t="e">
        <f>#REF!+#REF!-#REF!</f>
        <v>#REF!</v>
      </c>
      <c r="B177" s="98" t="e">
        <f>#REF!+#REF!-#REF!</f>
        <v>#REF!</v>
      </c>
      <c r="C177" s="98" t="e">
        <f>#REF!+#REF!-#REF!</f>
        <v>#REF!</v>
      </c>
      <c r="D177" s="98" t="e">
        <f>#REF!+#REF!-#REF!</f>
        <v>#REF!</v>
      </c>
      <c r="E177" s="98" t="e">
        <f>'2.8.Felúj.'!#REF!+'2.8.Felúj.'!#REF!-'2.8.Felúj.'!#REF!</f>
        <v>#REF!</v>
      </c>
      <c r="F177" s="98" t="e">
        <f>'2.5.Céltart'!#REF!+'2.5.Céltart'!#REF!-'2.5.Céltart'!#REF!</f>
        <v>#REF!</v>
      </c>
      <c r="G177" s="98" t="e">
        <f>#REF!+#REF!-#REF!</f>
        <v>#REF!</v>
      </c>
      <c r="H177" s="98" t="e">
        <f>#REF!+#REF!-#REF!</f>
        <v>#REF!</v>
      </c>
      <c r="I177" s="98" t="e">
        <f>#REF!+#REF!-#REF!</f>
        <v>#REF!</v>
      </c>
      <c r="J177" t="e">
        <f>#REF!+#REF!-#REF!</f>
        <v>#REF!</v>
      </c>
      <c r="K177" s="98" t="e">
        <f>#REF!+#REF!-#REF!</f>
        <v>#REF!</v>
      </c>
    </row>
    <row r="178" spans="1:11" ht="12.75">
      <c r="A178" s="98" t="e">
        <f>#REF!+#REF!-#REF!</f>
        <v>#REF!</v>
      </c>
      <c r="B178" s="98" t="e">
        <f>#REF!+#REF!-#REF!</f>
        <v>#REF!</v>
      </c>
      <c r="C178" s="98" t="e">
        <f>#REF!+#REF!-#REF!</f>
        <v>#REF!</v>
      </c>
      <c r="D178" s="98" t="e">
        <f>#REF!+#REF!-#REF!</f>
        <v>#REF!</v>
      </c>
      <c r="E178" s="98" t="e">
        <f>'2.8.Felúj.'!#REF!+'2.8.Felúj.'!#REF!-'2.8.Felúj.'!#REF!</f>
        <v>#REF!</v>
      </c>
      <c r="F178" s="98" t="e">
        <f>'2.5.Céltart'!#REF!+'2.5.Céltart'!#REF!-'2.5.Céltart'!#REF!</f>
        <v>#REF!</v>
      </c>
      <c r="G178" s="98" t="e">
        <f>#REF!+#REF!-#REF!</f>
        <v>#REF!</v>
      </c>
      <c r="H178" s="98" t="e">
        <f>#REF!+#REF!-#REF!</f>
        <v>#REF!</v>
      </c>
      <c r="I178" s="98" t="e">
        <f>#REF!+#REF!-#REF!</f>
        <v>#REF!</v>
      </c>
      <c r="J178" t="e">
        <f>#REF!+#REF!-#REF!</f>
        <v>#REF!</v>
      </c>
      <c r="K178" s="98" t="e">
        <f>#REF!+#REF!-#REF!</f>
        <v>#REF!</v>
      </c>
    </row>
    <row r="179" spans="1:11" ht="12.75">
      <c r="A179" s="98" t="e">
        <f>#REF!+#REF!-#REF!</f>
        <v>#REF!</v>
      </c>
      <c r="B179" s="98" t="e">
        <f>#REF!+#REF!-#REF!</f>
        <v>#REF!</v>
      </c>
      <c r="C179" s="98" t="e">
        <f>#REF!+#REF!-#REF!</f>
        <v>#REF!</v>
      </c>
      <c r="D179" s="98" t="e">
        <f>#REF!+#REF!-#REF!</f>
        <v>#REF!</v>
      </c>
      <c r="E179" s="98" t="e">
        <f>'2.8.Felúj.'!#REF!+'2.8.Felúj.'!#REF!-'2.8.Felúj.'!#REF!</f>
        <v>#REF!</v>
      </c>
      <c r="F179" s="98" t="e">
        <f>'2.5.Céltart'!#REF!+'2.5.Céltart'!#REF!-'2.5.Céltart'!#REF!</f>
        <v>#REF!</v>
      </c>
      <c r="G179" s="98" t="e">
        <f>#REF!+#REF!-#REF!</f>
        <v>#REF!</v>
      </c>
      <c r="H179" s="98" t="e">
        <f>#REF!+#REF!-#REF!</f>
        <v>#REF!</v>
      </c>
      <c r="I179" s="98" t="e">
        <f>#REF!+#REF!-#REF!</f>
        <v>#REF!</v>
      </c>
      <c r="J179" t="e">
        <f>#REF!+#REF!-#REF!</f>
        <v>#REF!</v>
      </c>
      <c r="K179" s="98" t="e">
        <f>#REF!+#REF!-#REF!</f>
        <v>#REF!</v>
      </c>
    </row>
    <row r="180" spans="1:11" ht="12.75">
      <c r="A180" s="98" t="e">
        <f>#REF!+#REF!-#REF!</f>
        <v>#REF!</v>
      </c>
      <c r="B180" s="98" t="e">
        <f>#REF!+#REF!-#REF!</f>
        <v>#REF!</v>
      </c>
      <c r="C180" s="98" t="e">
        <f>#REF!+#REF!-#REF!</f>
        <v>#REF!</v>
      </c>
      <c r="D180" s="98" t="e">
        <f>#REF!+#REF!-#REF!</f>
        <v>#REF!</v>
      </c>
      <c r="E180" s="98" t="e">
        <f>'2.8.Felúj.'!#REF!+'2.8.Felúj.'!#REF!-'2.8.Felúj.'!#REF!</f>
        <v>#REF!</v>
      </c>
      <c r="F180" s="98" t="e">
        <f>'2.5.Céltart'!#REF!+'2.5.Céltart'!#REF!-'2.5.Céltart'!#REF!</f>
        <v>#REF!</v>
      </c>
      <c r="G180" s="98" t="e">
        <f>#REF!+#REF!-#REF!</f>
        <v>#REF!</v>
      </c>
      <c r="H180" s="98" t="e">
        <f>#REF!+#REF!-#REF!</f>
        <v>#REF!</v>
      </c>
      <c r="I180" s="98" t="e">
        <f>#REF!+#REF!-#REF!</f>
        <v>#REF!</v>
      </c>
      <c r="J180" t="e">
        <f>#REF!+#REF!-#REF!</f>
        <v>#REF!</v>
      </c>
      <c r="K180" s="98" t="e">
        <f>#REF!+#REF!-#REF!</f>
        <v>#REF!</v>
      </c>
    </row>
    <row r="181" spans="1:11" ht="12.75">
      <c r="A181" s="98" t="e">
        <f>#REF!+#REF!-#REF!</f>
        <v>#REF!</v>
      </c>
      <c r="B181" s="98" t="e">
        <f>#REF!+#REF!-#REF!</f>
        <v>#REF!</v>
      </c>
      <c r="C181" s="98" t="e">
        <f>#REF!+#REF!-#REF!</f>
        <v>#REF!</v>
      </c>
      <c r="D181" s="98" t="e">
        <f>#REF!+#REF!-#REF!</f>
        <v>#REF!</v>
      </c>
      <c r="E181" s="98" t="e">
        <f>'2.8.Felúj.'!#REF!+'2.8.Felúj.'!#REF!-'2.8.Felúj.'!#REF!</f>
        <v>#REF!</v>
      </c>
      <c r="F181" s="98" t="e">
        <f>'2.5.Céltart'!#REF!+'2.5.Céltart'!#REF!-'2.5.Céltart'!#REF!</f>
        <v>#REF!</v>
      </c>
      <c r="G181" s="98" t="e">
        <f>#REF!+#REF!-#REF!</f>
        <v>#REF!</v>
      </c>
      <c r="H181" s="98" t="e">
        <f>#REF!+#REF!-#REF!</f>
        <v>#REF!</v>
      </c>
      <c r="I181" s="98" t="e">
        <f>#REF!+#REF!-#REF!</f>
        <v>#REF!</v>
      </c>
      <c r="J181" t="e">
        <f>#REF!+#REF!-#REF!</f>
        <v>#REF!</v>
      </c>
      <c r="K181" s="98" t="e">
        <f>#REF!+#REF!-#REF!</f>
        <v>#REF!</v>
      </c>
    </row>
    <row r="182" spans="1:11" ht="12.75">
      <c r="A182" s="98" t="e">
        <f>#REF!+#REF!-#REF!</f>
        <v>#REF!</v>
      </c>
      <c r="B182" s="98" t="e">
        <f>#REF!+#REF!-#REF!</f>
        <v>#REF!</v>
      </c>
      <c r="C182" s="98" t="e">
        <f>#REF!+#REF!-#REF!</f>
        <v>#REF!</v>
      </c>
      <c r="D182" s="98" t="e">
        <f>#REF!+#REF!-#REF!</f>
        <v>#REF!</v>
      </c>
      <c r="E182" s="98" t="e">
        <f>'2.8.Felúj.'!#REF!+'2.8.Felúj.'!#REF!-'2.8.Felúj.'!#REF!</f>
        <v>#REF!</v>
      </c>
      <c r="F182" s="98" t="e">
        <f>'2.5.Céltart'!#REF!+'2.5.Céltart'!#REF!-'2.5.Céltart'!#REF!</f>
        <v>#REF!</v>
      </c>
      <c r="G182" s="98" t="e">
        <f>#REF!+#REF!-#REF!</f>
        <v>#REF!</v>
      </c>
      <c r="H182" s="98" t="e">
        <f>#REF!+#REF!-#REF!</f>
        <v>#REF!</v>
      </c>
      <c r="I182" s="98" t="e">
        <f>#REF!+#REF!-#REF!</f>
        <v>#REF!</v>
      </c>
      <c r="J182" t="e">
        <f>#REF!+#REF!-#REF!</f>
        <v>#REF!</v>
      </c>
      <c r="K182" s="98" t="e">
        <f>#REF!+#REF!-#REF!</f>
        <v>#REF!</v>
      </c>
    </row>
    <row r="183" spans="1:11" ht="12.75">
      <c r="A183" s="98" t="e">
        <f>#REF!+#REF!-#REF!</f>
        <v>#REF!</v>
      </c>
      <c r="B183" s="98" t="e">
        <f>#REF!+#REF!-#REF!</f>
        <v>#REF!</v>
      </c>
      <c r="C183" s="98" t="e">
        <f>#REF!+#REF!-#REF!</f>
        <v>#REF!</v>
      </c>
      <c r="D183" s="98" t="e">
        <f>#REF!+#REF!-#REF!</f>
        <v>#REF!</v>
      </c>
      <c r="E183" s="98" t="e">
        <f>'2.8.Felúj.'!#REF!+'2.8.Felúj.'!#REF!-'2.8.Felúj.'!#REF!</f>
        <v>#REF!</v>
      </c>
      <c r="F183" s="98" t="e">
        <f>'2.5.Céltart'!#REF!+'2.5.Céltart'!#REF!-'2.5.Céltart'!#REF!</f>
        <v>#REF!</v>
      </c>
      <c r="G183" s="98" t="e">
        <f>#REF!+#REF!-#REF!</f>
        <v>#REF!</v>
      </c>
      <c r="H183" s="98" t="e">
        <f>#REF!+#REF!-#REF!</f>
        <v>#REF!</v>
      </c>
      <c r="I183" s="98" t="e">
        <f>#REF!+#REF!-#REF!</f>
        <v>#REF!</v>
      </c>
      <c r="J183" t="e">
        <f>#REF!+#REF!-#REF!</f>
        <v>#REF!</v>
      </c>
      <c r="K183" s="98" t="e">
        <f>#REF!+#REF!-#REF!</f>
        <v>#REF!</v>
      </c>
    </row>
    <row r="184" spans="1:11" ht="12.75">
      <c r="A184" s="98" t="e">
        <f>#REF!+#REF!-#REF!</f>
        <v>#REF!</v>
      </c>
      <c r="B184" s="98" t="e">
        <f>#REF!+#REF!-#REF!</f>
        <v>#REF!</v>
      </c>
      <c r="C184" s="98" t="e">
        <f>#REF!+#REF!-#REF!</f>
        <v>#REF!</v>
      </c>
      <c r="D184" s="98" t="e">
        <f>#REF!+#REF!-#REF!</f>
        <v>#REF!</v>
      </c>
      <c r="E184" s="98" t="e">
        <f>'2.8.Felúj.'!#REF!+'2.8.Felúj.'!#REF!-'2.8.Felúj.'!#REF!</f>
        <v>#REF!</v>
      </c>
      <c r="F184" s="98" t="e">
        <f>'2.5.Céltart'!#REF!+'2.5.Céltart'!#REF!-'2.5.Céltart'!#REF!</f>
        <v>#REF!</v>
      </c>
      <c r="G184" s="98" t="e">
        <f>#REF!+#REF!-#REF!</f>
        <v>#REF!</v>
      </c>
      <c r="H184" s="98" t="e">
        <f>#REF!+#REF!-#REF!</f>
        <v>#REF!</v>
      </c>
      <c r="I184" s="98" t="e">
        <f>#REF!+#REF!-#REF!</f>
        <v>#REF!</v>
      </c>
      <c r="J184" t="e">
        <f>#REF!+#REF!-#REF!</f>
        <v>#REF!</v>
      </c>
      <c r="K184" s="98" t="e">
        <f>#REF!+#REF!-#REF!</f>
        <v>#REF!</v>
      </c>
    </row>
    <row r="185" spans="1:11" ht="12.75">
      <c r="A185" s="98" t="e">
        <f>#REF!+#REF!-#REF!</f>
        <v>#REF!</v>
      </c>
      <c r="B185" s="98" t="e">
        <f>#REF!+#REF!-#REF!</f>
        <v>#REF!</v>
      </c>
      <c r="C185" s="98" t="e">
        <f>#REF!+#REF!-#REF!</f>
        <v>#REF!</v>
      </c>
      <c r="D185" s="98" t="e">
        <f>#REF!+#REF!-#REF!</f>
        <v>#REF!</v>
      </c>
      <c r="E185" s="98" t="e">
        <f>'2.8.Felúj.'!#REF!+'2.8.Felúj.'!#REF!-'2.8.Felúj.'!#REF!</f>
        <v>#REF!</v>
      </c>
      <c r="F185" s="98" t="e">
        <f>'2.5.Céltart'!#REF!+'2.5.Céltart'!#REF!-'2.5.Céltart'!#REF!</f>
        <v>#REF!</v>
      </c>
      <c r="G185" s="98" t="e">
        <f>#REF!+#REF!-#REF!</f>
        <v>#REF!</v>
      </c>
      <c r="H185" s="98" t="e">
        <f>#REF!+#REF!-#REF!</f>
        <v>#REF!</v>
      </c>
      <c r="I185" s="98" t="e">
        <f>#REF!+#REF!-#REF!</f>
        <v>#REF!</v>
      </c>
      <c r="J185" t="e">
        <f>#REF!+#REF!-#REF!</f>
        <v>#REF!</v>
      </c>
      <c r="K185" s="98" t="e">
        <f>#REF!+#REF!-#REF!</f>
        <v>#REF!</v>
      </c>
    </row>
    <row r="186" spans="1:11" ht="12.75">
      <c r="A186" s="98" t="e">
        <f>#REF!+#REF!-#REF!</f>
        <v>#REF!</v>
      </c>
      <c r="B186" s="98" t="e">
        <f>#REF!+#REF!-#REF!</f>
        <v>#REF!</v>
      </c>
      <c r="C186" s="98" t="e">
        <f>#REF!+#REF!-#REF!</f>
        <v>#REF!</v>
      </c>
      <c r="D186" s="98" t="e">
        <f>#REF!+#REF!-#REF!</f>
        <v>#REF!</v>
      </c>
      <c r="E186" s="98" t="e">
        <f>'2.8.Felúj.'!#REF!+'2.8.Felúj.'!#REF!-'2.8.Felúj.'!#REF!</f>
        <v>#REF!</v>
      </c>
      <c r="F186" s="98" t="e">
        <f>'2.5.Céltart'!#REF!+'2.5.Céltart'!#REF!-'2.5.Céltart'!#REF!</f>
        <v>#REF!</v>
      </c>
      <c r="G186" s="98" t="e">
        <f>#REF!+#REF!-#REF!</f>
        <v>#REF!</v>
      </c>
      <c r="H186" s="98" t="e">
        <f>#REF!+#REF!-#REF!</f>
        <v>#REF!</v>
      </c>
      <c r="I186" s="98" t="e">
        <f>#REF!+#REF!-#REF!</f>
        <v>#REF!</v>
      </c>
      <c r="J186" t="e">
        <f>#REF!+#REF!-#REF!</f>
        <v>#REF!</v>
      </c>
      <c r="K186" s="98" t="e">
        <f>#REF!+#REF!-#REF!</f>
        <v>#REF!</v>
      </c>
    </row>
    <row r="187" spans="1:11" ht="12.75">
      <c r="A187" s="98" t="e">
        <f>#REF!+#REF!-#REF!</f>
        <v>#REF!</v>
      </c>
      <c r="B187" s="98" t="e">
        <f>#REF!+#REF!-#REF!</f>
        <v>#REF!</v>
      </c>
      <c r="C187" s="98" t="e">
        <f>#REF!+#REF!-#REF!</f>
        <v>#REF!</v>
      </c>
      <c r="D187" s="98" t="e">
        <f>#REF!+#REF!-#REF!</f>
        <v>#REF!</v>
      </c>
      <c r="E187" s="98" t="e">
        <f>'2.8.Felúj.'!#REF!+'2.8.Felúj.'!#REF!-'2.8.Felúj.'!#REF!</f>
        <v>#REF!</v>
      </c>
      <c r="F187" s="98" t="e">
        <f>'2.5.Céltart'!#REF!+'2.5.Céltart'!#REF!-'2.5.Céltart'!#REF!</f>
        <v>#REF!</v>
      </c>
      <c r="G187" s="98" t="e">
        <f>#REF!+#REF!-#REF!</f>
        <v>#REF!</v>
      </c>
      <c r="H187" s="98" t="e">
        <f>#REF!+#REF!-#REF!</f>
        <v>#REF!</v>
      </c>
      <c r="I187" s="98" t="e">
        <f>#REF!+#REF!-#REF!</f>
        <v>#REF!</v>
      </c>
      <c r="J187" t="e">
        <f>#REF!+#REF!-#REF!</f>
        <v>#REF!</v>
      </c>
      <c r="K187" s="98" t="e">
        <f>#REF!+#REF!-#REF!</f>
        <v>#REF!</v>
      </c>
    </row>
    <row r="188" spans="1:11" ht="12.75">
      <c r="A188" s="98" t="e">
        <f>#REF!+#REF!-#REF!</f>
        <v>#REF!</v>
      </c>
      <c r="B188" s="98" t="e">
        <f>#REF!+#REF!-#REF!</f>
        <v>#REF!</v>
      </c>
      <c r="C188" s="98" t="e">
        <f>#REF!+#REF!-#REF!</f>
        <v>#REF!</v>
      </c>
      <c r="D188" s="98" t="e">
        <f>#REF!+#REF!-#REF!</f>
        <v>#REF!</v>
      </c>
      <c r="E188" s="98" t="e">
        <f>'2.8.Felúj.'!#REF!+'2.8.Felúj.'!#REF!-'2.8.Felúj.'!#REF!</f>
        <v>#REF!</v>
      </c>
      <c r="F188" s="98" t="e">
        <f>'2.5.Céltart'!#REF!+'2.5.Céltart'!#REF!-'2.5.Céltart'!#REF!</f>
        <v>#REF!</v>
      </c>
      <c r="G188" s="98" t="e">
        <f>#REF!+#REF!-#REF!</f>
        <v>#REF!</v>
      </c>
      <c r="H188" s="98" t="e">
        <f>#REF!+#REF!-#REF!</f>
        <v>#REF!</v>
      </c>
      <c r="I188" s="98" t="e">
        <f>#REF!+#REF!-#REF!</f>
        <v>#REF!</v>
      </c>
      <c r="J188" t="e">
        <f>#REF!+#REF!-#REF!</f>
        <v>#REF!</v>
      </c>
      <c r="K188" s="98" t="e">
        <f>#REF!+#REF!-#REF!</f>
        <v>#REF!</v>
      </c>
    </row>
    <row r="189" spans="1:11" ht="12.75">
      <c r="A189" s="98" t="e">
        <f>#REF!+#REF!-#REF!</f>
        <v>#REF!</v>
      </c>
      <c r="B189" s="98" t="e">
        <f>#REF!+#REF!-#REF!</f>
        <v>#REF!</v>
      </c>
      <c r="C189" s="98" t="e">
        <f>#REF!+#REF!-#REF!</f>
        <v>#REF!</v>
      </c>
      <c r="D189" s="98" t="e">
        <f>#REF!+#REF!-#REF!</f>
        <v>#REF!</v>
      </c>
      <c r="E189" s="98" t="e">
        <f>'2.8.Felúj.'!#REF!+'2.8.Felúj.'!#REF!-'2.8.Felúj.'!#REF!</f>
        <v>#REF!</v>
      </c>
      <c r="F189" s="98" t="e">
        <f>'2.5.Céltart'!#REF!+'2.5.Céltart'!#REF!-'2.5.Céltart'!#REF!</f>
        <v>#REF!</v>
      </c>
      <c r="G189" s="98" t="e">
        <f>#REF!+#REF!-#REF!</f>
        <v>#REF!</v>
      </c>
      <c r="H189" s="98" t="e">
        <f>#REF!+#REF!-#REF!</f>
        <v>#REF!</v>
      </c>
      <c r="I189" s="98" t="e">
        <f>#REF!+#REF!-#REF!</f>
        <v>#REF!</v>
      </c>
      <c r="J189" t="e">
        <f>#REF!+#REF!-#REF!</f>
        <v>#REF!</v>
      </c>
      <c r="K189" s="98" t="e">
        <f>#REF!+#REF!-#REF!</f>
        <v>#REF!</v>
      </c>
    </row>
    <row r="190" spans="1:11" ht="12.75">
      <c r="A190" s="98" t="e">
        <f>#REF!+#REF!-#REF!</f>
        <v>#REF!</v>
      </c>
      <c r="B190" s="98" t="e">
        <f>#REF!+#REF!-#REF!</f>
        <v>#REF!</v>
      </c>
      <c r="C190" s="98" t="e">
        <f>#REF!+#REF!-#REF!</f>
        <v>#REF!</v>
      </c>
      <c r="D190" s="98" t="e">
        <f>#REF!+#REF!-#REF!</f>
        <v>#REF!</v>
      </c>
      <c r="E190" s="98" t="e">
        <f>'2.8.Felúj.'!#REF!+'2.8.Felúj.'!#REF!-'2.8.Felúj.'!#REF!</f>
        <v>#REF!</v>
      </c>
      <c r="F190" s="98" t="e">
        <f>'2.5.Céltart'!#REF!+'2.5.Céltart'!#REF!-'2.5.Céltart'!#REF!</f>
        <v>#REF!</v>
      </c>
      <c r="G190" s="98" t="e">
        <f>#REF!+#REF!-#REF!</f>
        <v>#REF!</v>
      </c>
      <c r="H190" s="98" t="e">
        <f>#REF!+#REF!-#REF!</f>
        <v>#REF!</v>
      </c>
      <c r="I190" s="98" t="e">
        <f>#REF!+#REF!-#REF!</f>
        <v>#REF!</v>
      </c>
      <c r="J190" t="e">
        <f>#REF!+#REF!-#REF!</f>
        <v>#REF!</v>
      </c>
      <c r="K190" s="98" t="e">
        <f>#REF!+#REF!-#REF!</f>
        <v>#REF!</v>
      </c>
    </row>
    <row r="191" spans="1:11" ht="12.75">
      <c r="A191" s="98" t="e">
        <f>#REF!+#REF!-#REF!</f>
        <v>#REF!</v>
      </c>
      <c r="B191" s="98" t="e">
        <f>#REF!+#REF!-#REF!</f>
        <v>#REF!</v>
      </c>
      <c r="C191" s="98" t="e">
        <f>#REF!+#REF!-#REF!</f>
        <v>#REF!</v>
      </c>
      <c r="D191" s="98" t="e">
        <f>#REF!+#REF!-#REF!</f>
        <v>#REF!</v>
      </c>
      <c r="E191" s="98" t="e">
        <f>'2.8.Felúj.'!#REF!+'2.8.Felúj.'!#REF!-'2.8.Felúj.'!#REF!</f>
        <v>#REF!</v>
      </c>
      <c r="F191" s="98" t="e">
        <f>'2.5.Céltart'!#REF!+'2.5.Céltart'!#REF!-'2.5.Céltart'!#REF!</f>
        <v>#REF!</v>
      </c>
      <c r="G191" s="98" t="e">
        <f>#REF!+#REF!-#REF!</f>
        <v>#REF!</v>
      </c>
      <c r="H191" s="98" t="e">
        <f>#REF!+#REF!-#REF!</f>
        <v>#REF!</v>
      </c>
      <c r="I191" s="98" t="e">
        <f>#REF!+#REF!-#REF!</f>
        <v>#REF!</v>
      </c>
      <c r="J191" t="e">
        <f>#REF!+#REF!-#REF!</f>
        <v>#REF!</v>
      </c>
      <c r="K191" s="98" t="e">
        <f>#REF!+#REF!-#REF!</f>
        <v>#REF!</v>
      </c>
    </row>
    <row r="192" spans="1:11" ht="12.75">
      <c r="A192" s="98" t="e">
        <f>#REF!+#REF!-#REF!</f>
        <v>#REF!</v>
      </c>
      <c r="B192" s="98" t="e">
        <f>#REF!+#REF!-#REF!</f>
        <v>#REF!</v>
      </c>
      <c r="C192" s="98" t="e">
        <f>#REF!+#REF!-#REF!</f>
        <v>#REF!</v>
      </c>
      <c r="D192" s="98" t="e">
        <f>#REF!+#REF!-#REF!</f>
        <v>#REF!</v>
      </c>
      <c r="E192" s="98" t="e">
        <f>'2.8.Felúj.'!#REF!+'2.8.Felúj.'!#REF!-'2.8.Felúj.'!#REF!</f>
        <v>#REF!</v>
      </c>
      <c r="F192" s="98" t="e">
        <f>'2.5.Céltart'!#REF!+'2.5.Céltart'!#REF!-'2.5.Céltart'!#REF!</f>
        <v>#REF!</v>
      </c>
      <c r="G192" s="98" t="e">
        <f>#REF!+#REF!-#REF!</f>
        <v>#REF!</v>
      </c>
      <c r="H192" s="98" t="e">
        <f>#REF!+#REF!-#REF!</f>
        <v>#REF!</v>
      </c>
      <c r="I192" s="98" t="e">
        <f>#REF!+#REF!-#REF!</f>
        <v>#REF!</v>
      </c>
      <c r="J192" t="e">
        <f>#REF!+#REF!-#REF!</f>
        <v>#REF!</v>
      </c>
      <c r="K192" s="98" t="e">
        <f>#REF!+#REF!-#REF!</f>
        <v>#REF!</v>
      </c>
    </row>
    <row r="193" spans="1:11" ht="12.75">
      <c r="A193" s="98" t="e">
        <f>#REF!+#REF!-#REF!</f>
        <v>#REF!</v>
      </c>
      <c r="B193" s="98" t="e">
        <f>#REF!+#REF!-#REF!</f>
        <v>#REF!</v>
      </c>
      <c r="C193" s="98" t="e">
        <f>#REF!+#REF!-#REF!</f>
        <v>#REF!</v>
      </c>
      <c r="D193" s="98" t="e">
        <f>#REF!+#REF!-#REF!</f>
        <v>#REF!</v>
      </c>
      <c r="E193" s="98" t="e">
        <f>'2.8.Felúj.'!#REF!+'2.8.Felúj.'!#REF!-'2.8.Felúj.'!#REF!</f>
        <v>#REF!</v>
      </c>
      <c r="F193" s="98" t="e">
        <f>'2.5.Céltart'!#REF!+'2.5.Céltart'!#REF!-'2.5.Céltart'!#REF!</f>
        <v>#REF!</v>
      </c>
      <c r="G193" s="98" t="e">
        <f>#REF!+#REF!-#REF!</f>
        <v>#REF!</v>
      </c>
      <c r="H193" s="98" t="e">
        <f>#REF!+#REF!-#REF!</f>
        <v>#REF!</v>
      </c>
      <c r="I193" s="98" t="e">
        <f>#REF!+#REF!-#REF!</f>
        <v>#REF!</v>
      </c>
      <c r="J193" t="e">
        <f>#REF!+#REF!-#REF!</f>
        <v>#REF!</v>
      </c>
      <c r="K193" s="98" t="e">
        <f>#REF!+#REF!-#REF!</f>
        <v>#REF!</v>
      </c>
    </row>
    <row r="194" spans="1:11" ht="12.75">
      <c r="A194" s="98" t="e">
        <f>#REF!+#REF!-#REF!</f>
        <v>#REF!</v>
      </c>
      <c r="B194" s="98" t="e">
        <f>#REF!+#REF!-#REF!</f>
        <v>#REF!</v>
      </c>
      <c r="C194" s="98" t="e">
        <f>#REF!+#REF!-#REF!</f>
        <v>#REF!</v>
      </c>
      <c r="D194" s="98" t="e">
        <f>#REF!+#REF!-#REF!</f>
        <v>#REF!</v>
      </c>
      <c r="E194" s="98" t="e">
        <f>'2.8.Felúj.'!#REF!+'2.8.Felúj.'!#REF!-'2.8.Felúj.'!#REF!</f>
        <v>#REF!</v>
      </c>
      <c r="F194" s="98" t="e">
        <f>'2.5.Céltart'!#REF!+'2.5.Céltart'!#REF!-'2.5.Céltart'!#REF!</f>
        <v>#REF!</v>
      </c>
      <c r="G194" s="98" t="e">
        <f>#REF!+#REF!-#REF!</f>
        <v>#REF!</v>
      </c>
      <c r="H194" s="98" t="e">
        <f>#REF!+#REF!-#REF!</f>
        <v>#REF!</v>
      </c>
      <c r="I194" s="98" t="e">
        <f>#REF!+#REF!-#REF!</f>
        <v>#REF!</v>
      </c>
      <c r="J194" t="e">
        <f>#REF!+#REF!-#REF!</f>
        <v>#REF!</v>
      </c>
      <c r="K194" s="98" t="e">
        <f>#REF!+#REF!-#REF!</f>
        <v>#REF!</v>
      </c>
    </row>
    <row r="195" spans="1:11" ht="12.75">
      <c r="A195" s="98" t="e">
        <f>#REF!+#REF!-#REF!</f>
        <v>#REF!</v>
      </c>
      <c r="B195" s="98" t="e">
        <f>#REF!+#REF!-#REF!</f>
        <v>#REF!</v>
      </c>
      <c r="C195" s="98" t="e">
        <f>#REF!+#REF!-#REF!</f>
        <v>#REF!</v>
      </c>
      <c r="D195" s="98" t="e">
        <f>#REF!+#REF!-#REF!</f>
        <v>#REF!</v>
      </c>
      <c r="E195" s="98" t="e">
        <f>'2.8.Felúj.'!#REF!+'2.8.Felúj.'!#REF!-'2.8.Felúj.'!#REF!</f>
        <v>#REF!</v>
      </c>
      <c r="F195" s="98" t="e">
        <f>'2.5.Céltart'!#REF!+'2.5.Céltart'!#REF!-'2.5.Céltart'!#REF!</f>
        <v>#REF!</v>
      </c>
      <c r="G195" s="98" t="e">
        <f>#REF!+#REF!-#REF!</f>
        <v>#REF!</v>
      </c>
      <c r="H195" s="98" t="e">
        <f>#REF!+#REF!-#REF!</f>
        <v>#REF!</v>
      </c>
      <c r="I195" s="98" t="e">
        <f>#REF!+#REF!-#REF!</f>
        <v>#REF!</v>
      </c>
      <c r="J195" t="e">
        <f>#REF!+#REF!-#REF!</f>
        <v>#REF!</v>
      </c>
      <c r="K195" s="98" t="e">
        <f>#REF!+#REF!-#REF!</f>
        <v>#REF!</v>
      </c>
    </row>
    <row r="196" spans="1:11" ht="12.75">
      <c r="A196" s="98" t="e">
        <f>#REF!+#REF!-#REF!</f>
        <v>#REF!</v>
      </c>
      <c r="B196" s="98" t="e">
        <f>#REF!+#REF!-#REF!</f>
        <v>#REF!</v>
      </c>
      <c r="C196" s="98" t="e">
        <f>#REF!+#REF!-#REF!</f>
        <v>#REF!</v>
      </c>
      <c r="D196" s="98" t="e">
        <f>#REF!+#REF!-#REF!</f>
        <v>#REF!</v>
      </c>
      <c r="E196" s="98" t="e">
        <f>'2.8.Felúj.'!#REF!+'2.8.Felúj.'!#REF!-'2.8.Felúj.'!#REF!</f>
        <v>#REF!</v>
      </c>
      <c r="F196" s="98" t="e">
        <f>'2.5.Céltart'!#REF!+'2.5.Céltart'!#REF!-'2.5.Céltart'!#REF!</f>
        <v>#REF!</v>
      </c>
      <c r="G196" s="98" t="e">
        <f>#REF!+#REF!-#REF!</f>
        <v>#REF!</v>
      </c>
      <c r="H196" s="98" t="e">
        <f>#REF!+#REF!-#REF!</f>
        <v>#REF!</v>
      </c>
      <c r="I196" s="98" t="e">
        <f>#REF!+#REF!-#REF!</f>
        <v>#REF!</v>
      </c>
      <c r="J196" t="e">
        <f>#REF!+#REF!-#REF!</f>
        <v>#REF!</v>
      </c>
      <c r="K196" s="98" t="e">
        <f>#REF!+#REF!-#REF!</f>
        <v>#REF!</v>
      </c>
    </row>
    <row r="197" spans="1:11" ht="12.75">
      <c r="A197" s="98" t="e">
        <f>#REF!+#REF!-#REF!</f>
        <v>#REF!</v>
      </c>
      <c r="B197" s="98" t="e">
        <f>#REF!+#REF!-#REF!</f>
        <v>#REF!</v>
      </c>
      <c r="C197" s="98" t="e">
        <f>#REF!+#REF!-#REF!</f>
        <v>#REF!</v>
      </c>
      <c r="D197" s="98" t="e">
        <f>#REF!+#REF!-#REF!</f>
        <v>#REF!</v>
      </c>
      <c r="E197" s="98" t="e">
        <f>'2.8.Felúj.'!#REF!+'2.8.Felúj.'!#REF!-'2.8.Felúj.'!#REF!</f>
        <v>#REF!</v>
      </c>
      <c r="F197" s="98" t="e">
        <f>'2.5.Céltart'!#REF!+'2.5.Céltart'!#REF!-'2.5.Céltart'!#REF!</f>
        <v>#REF!</v>
      </c>
      <c r="G197" s="98" t="e">
        <f>#REF!+#REF!-#REF!</f>
        <v>#REF!</v>
      </c>
      <c r="H197" s="98" t="e">
        <f>#REF!+#REF!-#REF!</f>
        <v>#REF!</v>
      </c>
      <c r="I197" s="98" t="e">
        <f>#REF!+#REF!-#REF!</f>
        <v>#REF!</v>
      </c>
      <c r="J197" t="e">
        <f>#REF!+#REF!-#REF!</f>
        <v>#REF!</v>
      </c>
      <c r="K197" s="98" t="e">
        <f>#REF!+#REF!-#REF!</f>
        <v>#REF!</v>
      </c>
    </row>
    <row r="198" spans="1:11" ht="12.75">
      <c r="A198" s="98" t="e">
        <f>#REF!+#REF!-#REF!</f>
        <v>#REF!</v>
      </c>
      <c r="B198" s="98" t="e">
        <f>#REF!+#REF!-#REF!</f>
        <v>#REF!</v>
      </c>
      <c r="C198" s="98" t="e">
        <f>#REF!+#REF!-#REF!</f>
        <v>#REF!</v>
      </c>
      <c r="D198" s="98" t="e">
        <f>#REF!+#REF!-#REF!</f>
        <v>#REF!</v>
      </c>
      <c r="E198" s="98" t="e">
        <f>'2.8.Felúj.'!#REF!+'2.8.Felúj.'!#REF!-'2.8.Felúj.'!#REF!</f>
        <v>#REF!</v>
      </c>
      <c r="F198" s="98" t="e">
        <f>'2.5.Céltart'!#REF!+'2.5.Céltart'!#REF!-'2.5.Céltart'!#REF!</f>
        <v>#REF!</v>
      </c>
      <c r="G198" s="98" t="e">
        <f>#REF!+#REF!-#REF!</f>
        <v>#REF!</v>
      </c>
      <c r="H198" s="98" t="e">
        <f>#REF!+#REF!-#REF!</f>
        <v>#REF!</v>
      </c>
      <c r="I198" s="98" t="e">
        <f>#REF!+#REF!-#REF!</f>
        <v>#REF!</v>
      </c>
      <c r="J198" t="e">
        <f>#REF!+#REF!-#REF!</f>
        <v>#REF!</v>
      </c>
      <c r="K198" s="98" t="e">
        <f>#REF!+#REF!-#REF!</f>
        <v>#REF!</v>
      </c>
    </row>
    <row r="199" spans="1:11" ht="12.75">
      <c r="A199" s="98" t="e">
        <f>#REF!+#REF!-#REF!</f>
        <v>#REF!</v>
      </c>
      <c r="B199" s="98" t="e">
        <f>#REF!+#REF!-#REF!</f>
        <v>#REF!</v>
      </c>
      <c r="C199" s="98" t="e">
        <f>#REF!+#REF!-#REF!</f>
        <v>#REF!</v>
      </c>
      <c r="D199" s="98" t="e">
        <f>#REF!+#REF!-#REF!</f>
        <v>#REF!</v>
      </c>
      <c r="E199" s="98" t="e">
        <f>'2.8.Felúj.'!#REF!+'2.8.Felúj.'!#REF!-'2.8.Felúj.'!#REF!</f>
        <v>#REF!</v>
      </c>
      <c r="F199" s="98" t="e">
        <f>'2.5.Céltart'!#REF!+'2.5.Céltart'!#REF!-'2.5.Céltart'!#REF!</f>
        <v>#REF!</v>
      </c>
      <c r="G199" s="98" t="e">
        <f>#REF!+#REF!-#REF!</f>
        <v>#REF!</v>
      </c>
      <c r="H199" s="98" t="e">
        <f>#REF!+#REF!-#REF!</f>
        <v>#REF!</v>
      </c>
      <c r="I199" s="98" t="e">
        <f>#REF!+#REF!-#REF!</f>
        <v>#REF!</v>
      </c>
      <c r="J199" t="e">
        <f>#REF!+#REF!-#REF!</f>
        <v>#REF!</v>
      </c>
      <c r="K199" s="98" t="e">
        <f>#REF!+#REF!-#REF!</f>
        <v>#REF!</v>
      </c>
    </row>
    <row r="200" spans="1:11" ht="12.75">
      <c r="A200" s="98" t="e">
        <f>#REF!+#REF!-#REF!</f>
        <v>#REF!</v>
      </c>
      <c r="B200" s="98" t="e">
        <f>#REF!+#REF!-#REF!</f>
        <v>#REF!</v>
      </c>
      <c r="C200" s="98" t="e">
        <f>#REF!+#REF!-#REF!</f>
        <v>#REF!</v>
      </c>
      <c r="D200" s="98" t="e">
        <f>#REF!+#REF!-#REF!</f>
        <v>#REF!</v>
      </c>
      <c r="E200" s="98" t="e">
        <f>'2.8.Felúj.'!#REF!+'2.8.Felúj.'!#REF!-'2.8.Felúj.'!#REF!</f>
        <v>#REF!</v>
      </c>
      <c r="F200" s="98" t="e">
        <f>'2.5.Céltart'!#REF!+'2.5.Céltart'!#REF!-'2.5.Céltart'!#REF!</f>
        <v>#REF!</v>
      </c>
      <c r="G200" s="98" t="e">
        <f>#REF!+#REF!-#REF!</f>
        <v>#REF!</v>
      </c>
      <c r="H200" s="98" t="e">
        <f>#REF!+#REF!-#REF!</f>
        <v>#REF!</v>
      </c>
      <c r="I200" s="98" t="e">
        <f>#REF!+#REF!-#REF!</f>
        <v>#REF!</v>
      </c>
      <c r="J200" t="e">
        <f>#REF!+#REF!-#REF!</f>
        <v>#REF!</v>
      </c>
      <c r="K200" s="98" t="e">
        <f>#REF!+#REF!-#REF!</f>
        <v>#REF!</v>
      </c>
    </row>
    <row r="201" spans="1:11" ht="12.75">
      <c r="A201" s="98" t="e">
        <f>#REF!+#REF!-#REF!</f>
        <v>#REF!</v>
      </c>
      <c r="B201" s="98" t="e">
        <f>#REF!+#REF!-#REF!</f>
        <v>#REF!</v>
      </c>
      <c r="C201" s="98" t="e">
        <f>#REF!+#REF!-#REF!</f>
        <v>#REF!</v>
      </c>
      <c r="D201" s="98" t="e">
        <f>#REF!+#REF!-#REF!</f>
        <v>#REF!</v>
      </c>
      <c r="E201" s="98" t="e">
        <f>'2.8.Felúj.'!#REF!+'2.8.Felúj.'!#REF!-'2.8.Felúj.'!#REF!</f>
        <v>#REF!</v>
      </c>
      <c r="F201" s="98" t="e">
        <f>'2.5.Céltart'!#REF!+'2.5.Céltart'!#REF!-'2.5.Céltart'!#REF!</f>
        <v>#REF!</v>
      </c>
      <c r="G201" s="98" t="e">
        <f>#REF!+#REF!-#REF!</f>
        <v>#REF!</v>
      </c>
      <c r="H201" s="98" t="e">
        <f>#REF!+#REF!-#REF!</f>
        <v>#REF!</v>
      </c>
      <c r="I201" s="98" t="e">
        <f>#REF!+#REF!-#REF!</f>
        <v>#REF!</v>
      </c>
      <c r="J201" t="e">
        <f>#REF!+#REF!-#REF!</f>
        <v>#REF!</v>
      </c>
      <c r="K201" s="98" t="e">
        <f>#REF!+#REF!-#REF!</f>
        <v>#REF!</v>
      </c>
    </row>
    <row r="202" spans="1:11" ht="12.75">
      <c r="A202" s="98" t="e">
        <f>#REF!+#REF!-#REF!</f>
        <v>#REF!</v>
      </c>
      <c r="B202" s="98" t="e">
        <f>#REF!+#REF!-#REF!</f>
        <v>#REF!</v>
      </c>
      <c r="C202" s="98" t="e">
        <f>#REF!+#REF!-#REF!</f>
        <v>#REF!</v>
      </c>
      <c r="D202" s="98" t="e">
        <f>#REF!+#REF!-#REF!</f>
        <v>#REF!</v>
      </c>
      <c r="E202" s="98" t="e">
        <f>'2.8.Felúj.'!#REF!+'2.8.Felúj.'!#REF!-'2.8.Felúj.'!#REF!</f>
        <v>#REF!</v>
      </c>
      <c r="F202" s="98" t="e">
        <f>'2.5.Céltart'!#REF!+'2.5.Céltart'!#REF!-'2.5.Céltart'!#REF!</f>
        <v>#REF!</v>
      </c>
      <c r="G202" s="98" t="e">
        <f>#REF!+#REF!-#REF!</f>
        <v>#REF!</v>
      </c>
      <c r="H202" s="98" t="e">
        <f>#REF!+#REF!-#REF!</f>
        <v>#REF!</v>
      </c>
      <c r="I202" s="98" t="e">
        <f>#REF!+#REF!-#REF!</f>
        <v>#REF!</v>
      </c>
      <c r="J202" t="e">
        <f>#REF!+#REF!-#REF!</f>
        <v>#REF!</v>
      </c>
      <c r="K202" s="98" t="e">
        <f>#REF!+#REF!-#REF!</f>
        <v>#REF!</v>
      </c>
    </row>
    <row r="203" spans="1:11" ht="12.75">
      <c r="A203" s="98" t="e">
        <f>#REF!+#REF!-#REF!</f>
        <v>#REF!</v>
      </c>
      <c r="B203" s="98" t="e">
        <f>#REF!+#REF!-#REF!</f>
        <v>#REF!</v>
      </c>
      <c r="C203" s="98" t="e">
        <f>#REF!+#REF!-#REF!</f>
        <v>#REF!</v>
      </c>
      <c r="D203" s="98" t="e">
        <f>#REF!+#REF!-#REF!</f>
        <v>#REF!</v>
      </c>
      <c r="E203" s="98" t="e">
        <f>'2.8.Felúj.'!#REF!+'2.8.Felúj.'!#REF!-'2.8.Felúj.'!#REF!</f>
        <v>#REF!</v>
      </c>
      <c r="F203" s="98" t="e">
        <f>'2.5.Céltart'!#REF!+'2.5.Céltart'!#REF!-'2.5.Céltart'!#REF!</f>
        <v>#REF!</v>
      </c>
      <c r="G203" s="98" t="e">
        <f>#REF!+#REF!-#REF!</f>
        <v>#REF!</v>
      </c>
      <c r="H203" s="98" t="e">
        <f>#REF!+#REF!-#REF!</f>
        <v>#REF!</v>
      </c>
      <c r="I203" s="98" t="e">
        <f>#REF!+#REF!-#REF!</f>
        <v>#REF!</v>
      </c>
      <c r="J203" t="e">
        <f>#REF!+#REF!-#REF!</f>
        <v>#REF!</v>
      </c>
      <c r="K203" s="98" t="e">
        <f>#REF!+#REF!-#REF!</f>
        <v>#REF!</v>
      </c>
    </row>
    <row r="204" spans="1:11" ht="12.75">
      <c r="A204" s="98" t="e">
        <f>#REF!+#REF!-#REF!</f>
        <v>#REF!</v>
      </c>
      <c r="B204" s="98" t="e">
        <f>#REF!+#REF!-#REF!</f>
        <v>#REF!</v>
      </c>
      <c r="C204" s="98" t="e">
        <f>#REF!+#REF!-#REF!</f>
        <v>#REF!</v>
      </c>
      <c r="D204" s="98" t="e">
        <f>#REF!+#REF!-#REF!</f>
        <v>#REF!</v>
      </c>
      <c r="E204" s="98" t="e">
        <f>'2.8.Felúj.'!#REF!+'2.8.Felúj.'!#REF!-'2.8.Felúj.'!#REF!</f>
        <v>#REF!</v>
      </c>
      <c r="F204" s="98" t="e">
        <f>'2.5.Céltart'!#REF!+'2.5.Céltart'!#REF!-'2.5.Céltart'!#REF!</f>
        <v>#REF!</v>
      </c>
      <c r="G204" s="98" t="e">
        <f>#REF!+#REF!-#REF!</f>
        <v>#REF!</v>
      </c>
      <c r="H204" s="98" t="e">
        <f>#REF!+#REF!-#REF!</f>
        <v>#REF!</v>
      </c>
      <c r="I204" s="98" t="e">
        <f>#REF!+#REF!-#REF!</f>
        <v>#REF!</v>
      </c>
      <c r="J204" t="e">
        <f>#REF!+#REF!-#REF!</f>
        <v>#REF!</v>
      </c>
      <c r="K204" s="98" t="e">
        <f>#REF!+#REF!-#REF!</f>
        <v>#REF!</v>
      </c>
    </row>
    <row r="205" spans="1:11" ht="12.75">
      <c r="A205" s="98" t="e">
        <f>#REF!+#REF!-#REF!</f>
        <v>#REF!</v>
      </c>
      <c r="B205" s="98" t="e">
        <f>#REF!+#REF!-#REF!</f>
        <v>#REF!</v>
      </c>
      <c r="C205" s="98" t="e">
        <f>#REF!+#REF!-#REF!</f>
        <v>#REF!</v>
      </c>
      <c r="D205" s="98" t="e">
        <f>#REF!+#REF!-#REF!</f>
        <v>#REF!</v>
      </c>
      <c r="E205" s="98" t="e">
        <f>'2.8.Felúj.'!#REF!+'2.8.Felúj.'!#REF!-'2.8.Felúj.'!#REF!</f>
        <v>#REF!</v>
      </c>
      <c r="F205" s="98" t="e">
        <f>'2.5.Céltart'!#REF!+'2.5.Céltart'!#REF!-'2.5.Céltart'!#REF!</f>
        <v>#REF!</v>
      </c>
      <c r="G205" s="98" t="e">
        <f>#REF!+#REF!-#REF!</f>
        <v>#REF!</v>
      </c>
      <c r="H205" s="98" t="e">
        <f>#REF!+#REF!-#REF!</f>
        <v>#REF!</v>
      </c>
      <c r="I205" s="98" t="e">
        <f>#REF!+#REF!-#REF!</f>
        <v>#REF!</v>
      </c>
      <c r="J205" t="e">
        <f>#REF!+#REF!-#REF!</f>
        <v>#REF!</v>
      </c>
      <c r="K205" s="98" t="e">
        <f>#REF!+#REF!-#REF!</f>
        <v>#REF!</v>
      </c>
    </row>
    <row r="206" spans="1:11" ht="12.75">
      <c r="A206" s="98" t="e">
        <f>#REF!+#REF!-#REF!</f>
        <v>#REF!</v>
      </c>
      <c r="B206" s="98" t="e">
        <f>#REF!+#REF!-#REF!</f>
        <v>#REF!</v>
      </c>
      <c r="C206" s="98" t="e">
        <f>#REF!+#REF!-#REF!</f>
        <v>#REF!</v>
      </c>
      <c r="D206" s="98" t="e">
        <f>#REF!+#REF!-#REF!</f>
        <v>#REF!</v>
      </c>
      <c r="E206" s="98" t="e">
        <f>'2.8.Felúj.'!#REF!+'2.8.Felúj.'!#REF!-'2.8.Felúj.'!#REF!</f>
        <v>#REF!</v>
      </c>
      <c r="F206" s="98" t="e">
        <f>'2.5.Céltart'!#REF!+'2.5.Céltart'!#REF!-'2.5.Céltart'!#REF!</f>
        <v>#REF!</v>
      </c>
      <c r="G206" s="98" t="e">
        <f>#REF!+#REF!-#REF!</f>
        <v>#REF!</v>
      </c>
      <c r="H206" s="98" t="e">
        <f>#REF!+#REF!-#REF!</f>
        <v>#REF!</v>
      </c>
      <c r="I206" s="98" t="e">
        <f>#REF!+#REF!-#REF!</f>
        <v>#REF!</v>
      </c>
      <c r="J206" t="e">
        <f>#REF!+#REF!-#REF!</f>
        <v>#REF!</v>
      </c>
      <c r="K206" s="98" t="e">
        <f>#REF!+#REF!-#REF!</f>
        <v>#REF!</v>
      </c>
    </row>
    <row r="207" spans="1:11" ht="12.75">
      <c r="A207" s="98" t="e">
        <f>#REF!+#REF!-#REF!</f>
        <v>#REF!</v>
      </c>
      <c r="B207" s="98" t="e">
        <f>#REF!+#REF!-#REF!</f>
        <v>#REF!</v>
      </c>
      <c r="C207" s="98" t="e">
        <f>#REF!+#REF!-#REF!</f>
        <v>#REF!</v>
      </c>
      <c r="D207" s="98" t="e">
        <f>#REF!+#REF!-#REF!</f>
        <v>#REF!</v>
      </c>
      <c r="E207" s="98" t="e">
        <f>'2.8.Felúj.'!#REF!+'2.8.Felúj.'!#REF!-'2.8.Felúj.'!#REF!</f>
        <v>#REF!</v>
      </c>
      <c r="F207" s="98" t="e">
        <f>'2.5.Céltart'!#REF!+'2.5.Céltart'!#REF!-'2.5.Céltart'!#REF!</f>
        <v>#REF!</v>
      </c>
      <c r="G207" s="98" t="e">
        <f>#REF!+#REF!-#REF!</f>
        <v>#REF!</v>
      </c>
      <c r="H207" s="98" t="e">
        <f>#REF!+#REF!-#REF!</f>
        <v>#REF!</v>
      </c>
      <c r="I207" s="98" t="e">
        <f>#REF!+#REF!-#REF!</f>
        <v>#REF!</v>
      </c>
      <c r="J207" t="e">
        <f>#REF!+#REF!-#REF!</f>
        <v>#REF!</v>
      </c>
      <c r="K207" s="98" t="e">
        <f>#REF!+#REF!-#REF!</f>
        <v>#REF!</v>
      </c>
    </row>
    <row r="208" spans="1:11" ht="12.75">
      <c r="A208" s="98" t="e">
        <f>#REF!+#REF!-#REF!</f>
        <v>#REF!</v>
      </c>
      <c r="B208" s="98" t="e">
        <f>#REF!+#REF!-#REF!</f>
        <v>#REF!</v>
      </c>
      <c r="C208" s="98" t="e">
        <f>#REF!+#REF!-#REF!</f>
        <v>#REF!</v>
      </c>
      <c r="D208" s="98" t="e">
        <f>#REF!+#REF!-#REF!</f>
        <v>#REF!</v>
      </c>
      <c r="E208" s="98" t="e">
        <f>'2.8.Felúj.'!#REF!+'2.8.Felúj.'!#REF!-'2.8.Felúj.'!#REF!</f>
        <v>#REF!</v>
      </c>
      <c r="F208" s="98" t="e">
        <f>'2.5.Céltart'!#REF!+'2.5.Céltart'!#REF!-'2.5.Céltart'!#REF!</f>
        <v>#REF!</v>
      </c>
      <c r="G208" s="98" t="e">
        <f>#REF!+#REF!-#REF!</f>
        <v>#REF!</v>
      </c>
      <c r="H208" s="98" t="e">
        <f>#REF!+#REF!-#REF!</f>
        <v>#REF!</v>
      </c>
      <c r="I208" s="98" t="e">
        <f>#REF!+#REF!-#REF!</f>
        <v>#REF!</v>
      </c>
      <c r="J208" t="e">
        <f>#REF!+#REF!-#REF!</f>
        <v>#REF!</v>
      </c>
      <c r="K208" s="98" t="e">
        <f>#REF!+#REF!-#REF!</f>
        <v>#REF!</v>
      </c>
    </row>
    <row r="209" spans="1:11" ht="12.75">
      <c r="A209" s="98" t="e">
        <f>#REF!+#REF!-#REF!</f>
        <v>#REF!</v>
      </c>
      <c r="B209" s="98" t="e">
        <f>#REF!+#REF!-#REF!</f>
        <v>#REF!</v>
      </c>
      <c r="C209" s="98" t="e">
        <f>#REF!+#REF!-#REF!</f>
        <v>#REF!</v>
      </c>
      <c r="D209" s="98" t="e">
        <f>#REF!+#REF!-#REF!</f>
        <v>#REF!</v>
      </c>
      <c r="E209" s="98" t="e">
        <f>'2.8.Felúj.'!#REF!+'2.8.Felúj.'!#REF!-'2.8.Felúj.'!#REF!</f>
        <v>#REF!</v>
      </c>
      <c r="F209" s="98" t="e">
        <f>'2.5.Céltart'!#REF!+'2.5.Céltart'!#REF!-'2.5.Céltart'!#REF!</f>
        <v>#REF!</v>
      </c>
      <c r="G209" s="98" t="e">
        <f>#REF!+#REF!-#REF!</f>
        <v>#REF!</v>
      </c>
      <c r="H209" s="98" t="e">
        <f>#REF!+#REF!-#REF!</f>
        <v>#REF!</v>
      </c>
      <c r="I209" s="98" t="e">
        <f>#REF!+#REF!-#REF!</f>
        <v>#REF!</v>
      </c>
      <c r="J209" t="e">
        <f>#REF!+#REF!-#REF!</f>
        <v>#REF!</v>
      </c>
      <c r="K209" s="98" t="e">
        <f>#REF!+#REF!-#REF!</f>
        <v>#REF!</v>
      </c>
    </row>
    <row r="210" spans="1:11" ht="12.75">
      <c r="A210" s="98" t="e">
        <f>#REF!+#REF!-#REF!</f>
        <v>#REF!</v>
      </c>
      <c r="B210" s="98" t="e">
        <f>#REF!+#REF!-#REF!</f>
        <v>#REF!</v>
      </c>
      <c r="C210" s="98" t="e">
        <f>#REF!+#REF!-#REF!</f>
        <v>#REF!</v>
      </c>
      <c r="D210" s="98" t="e">
        <f>#REF!+#REF!-#REF!</f>
        <v>#REF!</v>
      </c>
      <c r="E210" s="98" t="e">
        <f>'2.8.Felúj.'!#REF!+'2.8.Felúj.'!#REF!-'2.8.Felúj.'!#REF!</f>
        <v>#REF!</v>
      </c>
      <c r="F210" s="98" t="e">
        <f>'2.5.Céltart'!#REF!+'2.5.Céltart'!#REF!-'2.5.Céltart'!#REF!</f>
        <v>#REF!</v>
      </c>
      <c r="G210" s="98" t="e">
        <f>#REF!+#REF!-#REF!</f>
        <v>#REF!</v>
      </c>
      <c r="H210" s="98" t="e">
        <f>#REF!+#REF!-#REF!</f>
        <v>#REF!</v>
      </c>
      <c r="I210" s="98" t="e">
        <f>#REF!+#REF!-#REF!</f>
        <v>#REF!</v>
      </c>
      <c r="J210" t="e">
        <f>#REF!+#REF!-#REF!</f>
        <v>#REF!</v>
      </c>
      <c r="K210" s="98" t="e">
        <f>#REF!+#REF!-#REF!</f>
        <v>#REF!</v>
      </c>
    </row>
    <row r="211" spans="1:11" ht="12.75">
      <c r="A211" s="98" t="e">
        <f>#REF!+#REF!-#REF!</f>
        <v>#REF!</v>
      </c>
      <c r="B211" s="98" t="e">
        <f>#REF!+#REF!-#REF!</f>
        <v>#REF!</v>
      </c>
      <c r="C211" s="98" t="e">
        <f>#REF!+#REF!-#REF!</f>
        <v>#REF!</v>
      </c>
      <c r="D211" s="98" t="e">
        <f>#REF!+#REF!-#REF!</f>
        <v>#REF!</v>
      </c>
      <c r="E211" s="98" t="e">
        <f>'2.8.Felúj.'!#REF!+'2.8.Felúj.'!#REF!-'2.8.Felúj.'!#REF!</f>
        <v>#REF!</v>
      </c>
      <c r="F211" s="98" t="e">
        <f>'2.5.Céltart'!#REF!+'2.5.Céltart'!#REF!-'2.5.Céltart'!#REF!</f>
        <v>#REF!</v>
      </c>
      <c r="G211" s="98" t="e">
        <f>#REF!+#REF!-#REF!</f>
        <v>#REF!</v>
      </c>
      <c r="H211" s="98" t="e">
        <f>#REF!+#REF!-#REF!</f>
        <v>#REF!</v>
      </c>
      <c r="I211" s="98" t="e">
        <f>#REF!+#REF!-#REF!</f>
        <v>#REF!</v>
      </c>
      <c r="J211" t="e">
        <f>#REF!+#REF!-#REF!</f>
        <v>#REF!</v>
      </c>
      <c r="K211" s="98" t="e">
        <f>#REF!+#REF!-#REF!</f>
        <v>#REF!</v>
      </c>
    </row>
    <row r="212" spans="1:11" ht="12.75">
      <c r="A212" s="98" t="e">
        <f>#REF!+#REF!-#REF!</f>
        <v>#REF!</v>
      </c>
      <c r="B212" s="98" t="e">
        <f>#REF!+#REF!-#REF!</f>
        <v>#REF!</v>
      </c>
      <c r="C212" s="98" t="e">
        <f>#REF!+#REF!-#REF!</f>
        <v>#REF!</v>
      </c>
      <c r="D212" s="98" t="e">
        <f>#REF!+#REF!-#REF!</f>
        <v>#REF!</v>
      </c>
      <c r="E212" s="98" t="e">
        <f>'2.8.Felúj.'!#REF!+'2.8.Felúj.'!#REF!-'2.8.Felúj.'!#REF!</f>
        <v>#REF!</v>
      </c>
      <c r="F212" s="98" t="e">
        <f>'2.5.Céltart'!#REF!+'2.5.Céltart'!#REF!-'2.5.Céltart'!#REF!</f>
        <v>#REF!</v>
      </c>
      <c r="G212" s="98" t="e">
        <f>#REF!+#REF!-#REF!</f>
        <v>#REF!</v>
      </c>
      <c r="H212" s="98" t="e">
        <f>#REF!+#REF!-#REF!</f>
        <v>#REF!</v>
      </c>
      <c r="I212" s="98" t="e">
        <f>#REF!+#REF!-#REF!</f>
        <v>#REF!</v>
      </c>
      <c r="J212" t="e">
        <f>#REF!+#REF!-#REF!</f>
        <v>#REF!</v>
      </c>
      <c r="K212" s="98" t="e">
        <f>#REF!+#REF!-#REF!</f>
        <v>#REF!</v>
      </c>
    </row>
    <row r="213" spans="1:11" ht="12.75">
      <c r="A213" s="98" t="e">
        <f>#REF!+#REF!-#REF!</f>
        <v>#REF!</v>
      </c>
      <c r="B213" s="98" t="e">
        <f>#REF!+#REF!-#REF!</f>
        <v>#REF!</v>
      </c>
      <c r="C213" s="98" t="e">
        <f>#REF!+#REF!-#REF!</f>
        <v>#REF!</v>
      </c>
      <c r="D213" s="98" t="e">
        <f>#REF!+#REF!-#REF!</f>
        <v>#REF!</v>
      </c>
      <c r="E213" s="98" t="e">
        <f>'2.8.Felúj.'!#REF!+'2.8.Felúj.'!#REF!-'2.8.Felúj.'!#REF!</f>
        <v>#REF!</v>
      </c>
      <c r="F213" s="98" t="e">
        <f>'2.5.Céltart'!#REF!+'2.5.Céltart'!#REF!-'2.5.Céltart'!#REF!</f>
        <v>#REF!</v>
      </c>
      <c r="G213" s="98" t="e">
        <f>#REF!+#REF!-#REF!</f>
        <v>#REF!</v>
      </c>
      <c r="H213" s="98" t="e">
        <f>#REF!+#REF!-#REF!</f>
        <v>#REF!</v>
      </c>
      <c r="I213" s="98" t="e">
        <f>#REF!+#REF!-#REF!</f>
        <v>#REF!</v>
      </c>
      <c r="J213" t="e">
        <f>#REF!+#REF!-#REF!</f>
        <v>#REF!</v>
      </c>
      <c r="K213" s="98" t="e">
        <f>#REF!+#REF!-#REF!</f>
        <v>#REF!</v>
      </c>
    </row>
    <row r="214" spans="1:11" ht="12.75">
      <c r="A214" s="98" t="e">
        <f>#REF!+#REF!-#REF!</f>
        <v>#REF!</v>
      </c>
      <c r="B214" s="98" t="e">
        <f>#REF!+#REF!-#REF!</f>
        <v>#REF!</v>
      </c>
      <c r="C214" s="98" t="e">
        <f>#REF!+#REF!-#REF!</f>
        <v>#REF!</v>
      </c>
      <c r="D214" s="98" t="e">
        <f>#REF!+#REF!-#REF!</f>
        <v>#REF!</v>
      </c>
      <c r="E214" s="98" t="e">
        <f>'2.8.Felúj.'!#REF!+'2.8.Felúj.'!#REF!-'2.8.Felúj.'!#REF!</f>
        <v>#REF!</v>
      </c>
      <c r="F214" s="98" t="e">
        <f>'2.5.Céltart'!#REF!+'2.5.Céltart'!#REF!-'2.5.Céltart'!#REF!</f>
        <v>#REF!</v>
      </c>
      <c r="G214" s="98" t="e">
        <f>#REF!+#REF!-#REF!</f>
        <v>#REF!</v>
      </c>
      <c r="H214" s="98" t="e">
        <f>#REF!+#REF!-#REF!</f>
        <v>#REF!</v>
      </c>
      <c r="I214" s="98" t="e">
        <f>#REF!+#REF!-#REF!</f>
        <v>#REF!</v>
      </c>
      <c r="J214" t="e">
        <f>#REF!+#REF!-#REF!</f>
        <v>#REF!</v>
      </c>
      <c r="K214" s="98" t="e">
        <f>#REF!+#REF!-#REF!</f>
        <v>#REF!</v>
      </c>
    </row>
    <row r="215" spans="1:11" ht="12.75">
      <c r="A215" s="98" t="e">
        <f>#REF!+#REF!-#REF!</f>
        <v>#REF!</v>
      </c>
      <c r="B215" s="98" t="e">
        <f>#REF!+#REF!-#REF!</f>
        <v>#REF!</v>
      </c>
      <c r="C215" s="98" t="e">
        <f>#REF!+#REF!-#REF!</f>
        <v>#REF!</v>
      </c>
      <c r="D215" s="98" t="e">
        <f>#REF!+#REF!-#REF!</f>
        <v>#REF!</v>
      </c>
      <c r="E215" s="98" t="e">
        <f>'2.8.Felúj.'!#REF!+'2.8.Felúj.'!#REF!-'2.8.Felúj.'!#REF!</f>
        <v>#REF!</v>
      </c>
      <c r="F215" s="98" t="e">
        <f>'2.5.Céltart'!#REF!+'2.5.Céltart'!#REF!-'2.5.Céltart'!#REF!</f>
        <v>#REF!</v>
      </c>
      <c r="G215" s="98" t="e">
        <f>#REF!+#REF!-#REF!</f>
        <v>#REF!</v>
      </c>
      <c r="H215" s="98" t="e">
        <f>#REF!+#REF!-#REF!</f>
        <v>#REF!</v>
      </c>
      <c r="I215" s="98" t="e">
        <f>#REF!+#REF!-#REF!</f>
        <v>#REF!</v>
      </c>
      <c r="J215" t="e">
        <f>#REF!+#REF!-#REF!</f>
        <v>#REF!</v>
      </c>
      <c r="K215" s="98" t="e">
        <f>#REF!+#REF!-#REF!</f>
        <v>#REF!</v>
      </c>
    </row>
    <row r="216" spans="1:11" ht="12.75">
      <c r="A216" s="98" t="e">
        <f>#REF!+#REF!-#REF!</f>
        <v>#REF!</v>
      </c>
      <c r="B216" s="98" t="e">
        <f>#REF!+#REF!-#REF!</f>
        <v>#REF!</v>
      </c>
      <c r="C216" s="98" t="e">
        <f>#REF!+#REF!-#REF!</f>
        <v>#REF!</v>
      </c>
      <c r="D216" s="98" t="e">
        <f>#REF!+#REF!-#REF!</f>
        <v>#REF!</v>
      </c>
      <c r="E216" s="98" t="e">
        <f>'2.8.Felúj.'!#REF!+'2.8.Felúj.'!#REF!-'2.8.Felúj.'!#REF!</f>
        <v>#REF!</v>
      </c>
      <c r="F216" s="98" t="e">
        <f>'2.5.Céltart'!#REF!+'2.5.Céltart'!#REF!-'2.5.Céltart'!#REF!</f>
        <v>#REF!</v>
      </c>
      <c r="G216" s="98" t="e">
        <f>#REF!+#REF!-#REF!</f>
        <v>#REF!</v>
      </c>
      <c r="H216" s="98" t="e">
        <f>#REF!+#REF!-#REF!</f>
        <v>#REF!</v>
      </c>
      <c r="I216" s="98" t="e">
        <f>#REF!+#REF!-#REF!</f>
        <v>#REF!</v>
      </c>
      <c r="J216" t="e">
        <f>#REF!+#REF!-#REF!</f>
        <v>#REF!</v>
      </c>
      <c r="K216" s="98" t="e">
        <f>#REF!+#REF!-#REF!</f>
        <v>#REF!</v>
      </c>
    </row>
    <row r="217" spans="1:11" ht="12.75">
      <c r="A217" s="98" t="e">
        <f>#REF!+#REF!-#REF!</f>
        <v>#REF!</v>
      </c>
      <c r="B217" s="98" t="e">
        <f>#REF!+#REF!-#REF!</f>
        <v>#REF!</v>
      </c>
      <c r="C217" s="98" t="e">
        <f>#REF!+#REF!-#REF!</f>
        <v>#REF!</v>
      </c>
      <c r="D217" s="98" t="e">
        <f>#REF!+#REF!-#REF!</f>
        <v>#REF!</v>
      </c>
      <c r="E217" s="98" t="e">
        <f>'2.8.Felúj.'!#REF!+'2.8.Felúj.'!#REF!-'2.8.Felúj.'!#REF!</f>
        <v>#REF!</v>
      </c>
      <c r="F217" s="98" t="e">
        <f>'2.5.Céltart'!#REF!+'2.5.Céltart'!#REF!-'2.5.Céltart'!#REF!</f>
        <v>#REF!</v>
      </c>
      <c r="G217" s="98" t="e">
        <f>#REF!+#REF!-#REF!</f>
        <v>#REF!</v>
      </c>
      <c r="H217" s="98" t="e">
        <f>#REF!+#REF!-#REF!</f>
        <v>#REF!</v>
      </c>
      <c r="I217" s="98" t="e">
        <f>#REF!+#REF!-#REF!</f>
        <v>#REF!</v>
      </c>
      <c r="J217" t="e">
        <f>#REF!+#REF!-#REF!</f>
        <v>#REF!</v>
      </c>
      <c r="K217" s="98" t="e">
        <f>#REF!+#REF!-#REF!</f>
        <v>#REF!</v>
      </c>
    </row>
    <row r="218" spans="1:11" ht="12.75">
      <c r="A218" s="98" t="e">
        <f>#REF!+#REF!-#REF!</f>
        <v>#REF!</v>
      </c>
      <c r="B218" s="98" t="e">
        <f>#REF!+#REF!-#REF!</f>
        <v>#REF!</v>
      </c>
      <c r="C218" s="98" t="e">
        <f>#REF!+#REF!-#REF!</f>
        <v>#REF!</v>
      </c>
      <c r="D218" s="98" t="e">
        <f>#REF!+#REF!-#REF!</f>
        <v>#REF!</v>
      </c>
      <c r="E218" s="98" t="e">
        <f>'2.8.Felúj.'!#REF!+'2.8.Felúj.'!#REF!-'2.8.Felúj.'!#REF!</f>
        <v>#REF!</v>
      </c>
      <c r="F218" s="98" t="e">
        <f>'2.5.Céltart'!#REF!+'2.5.Céltart'!#REF!-'2.5.Céltart'!#REF!</f>
        <v>#REF!</v>
      </c>
      <c r="G218" s="98" t="e">
        <f>#REF!+#REF!-#REF!</f>
        <v>#REF!</v>
      </c>
      <c r="H218" s="98" t="e">
        <f>#REF!+#REF!-#REF!</f>
        <v>#REF!</v>
      </c>
      <c r="I218" s="98" t="e">
        <f>#REF!+#REF!-#REF!</f>
        <v>#REF!</v>
      </c>
      <c r="J218" t="e">
        <f>#REF!+#REF!-#REF!</f>
        <v>#REF!</v>
      </c>
      <c r="K218" s="98" t="e">
        <f>#REF!+#REF!-#REF!</f>
        <v>#REF!</v>
      </c>
    </row>
    <row r="219" spans="1:11" ht="12.75">
      <c r="A219" s="98" t="e">
        <f>#REF!+#REF!-#REF!</f>
        <v>#REF!</v>
      </c>
      <c r="B219" s="98" t="e">
        <f>#REF!+#REF!-#REF!</f>
        <v>#REF!</v>
      </c>
      <c r="C219" s="98" t="e">
        <f>#REF!+#REF!-#REF!</f>
        <v>#REF!</v>
      </c>
      <c r="D219" s="98" t="e">
        <f>#REF!+#REF!-#REF!</f>
        <v>#REF!</v>
      </c>
      <c r="E219" s="98" t="e">
        <f>'2.8.Felúj.'!#REF!+'2.8.Felúj.'!#REF!-'2.8.Felúj.'!#REF!</f>
        <v>#REF!</v>
      </c>
      <c r="F219" s="98" t="e">
        <f>'2.5.Céltart'!#REF!+'2.5.Céltart'!#REF!-'2.5.Céltart'!#REF!</f>
        <v>#REF!</v>
      </c>
      <c r="G219" s="98" t="e">
        <f>#REF!+#REF!-#REF!</f>
        <v>#REF!</v>
      </c>
      <c r="H219" s="98" t="e">
        <f>#REF!+#REF!-#REF!</f>
        <v>#REF!</v>
      </c>
      <c r="I219" s="98" t="e">
        <f>#REF!+#REF!-#REF!</f>
        <v>#REF!</v>
      </c>
      <c r="J219" t="e">
        <f>#REF!+#REF!-#REF!</f>
        <v>#REF!</v>
      </c>
      <c r="K219" s="98" t="e">
        <f>#REF!+#REF!-#REF!</f>
        <v>#REF!</v>
      </c>
    </row>
    <row r="220" spans="1:11" ht="12.75">
      <c r="A220" s="98" t="e">
        <f>#REF!+#REF!-#REF!</f>
        <v>#REF!</v>
      </c>
      <c r="B220" s="98" t="e">
        <f>#REF!+#REF!-#REF!</f>
        <v>#REF!</v>
      </c>
      <c r="C220" s="98" t="e">
        <f>#REF!+#REF!-#REF!</f>
        <v>#REF!</v>
      </c>
      <c r="D220" s="98" t="e">
        <f>#REF!+#REF!-#REF!</f>
        <v>#REF!</v>
      </c>
      <c r="E220" s="98" t="e">
        <f>'2.8.Felúj.'!#REF!+'2.8.Felúj.'!#REF!-'2.8.Felúj.'!#REF!</f>
        <v>#REF!</v>
      </c>
      <c r="F220" s="98" t="e">
        <f>'2.5.Céltart'!#REF!+'2.5.Céltart'!#REF!-'2.5.Céltart'!#REF!</f>
        <v>#REF!</v>
      </c>
      <c r="G220" s="98" t="e">
        <f>#REF!+#REF!-#REF!</f>
        <v>#REF!</v>
      </c>
      <c r="H220" s="98" t="e">
        <f>#REF!+#REF!-#REF!</f>
        <v>#REF!</v>
      </c>
      <c r="I220" s="98" t="e">
        <f>#REF!+#REF!-#REF!</f>
        <v>#REF!</v>
      </c>
      <c r="J220" t="e">
        <f>#REF!+#REF!-#REF!</f>
        <v>#REF!</v>
      </c>
      <c r="K220" s="98" t="e">
        <f>#REF!+#REF!-#REF!</f>
        <v>#REF!</v>
      </c>
    </row>
    <row r="221" spans="1:11" ht="12.75">
      <c r="A221" s="98" t="e">
        <f>#REF!+#REF!-#REF!</f>
        <v>#REF!</v>
      </c>
      <c r="B221" s="98" t="e">
        <f>#REF!+#REF!-#REF!</f>
        <v>#REF!</v>
      </c>
      <c r="C221" s="98" t="e">
        <f>#REF!+#REF!-#REF!</f>
        <v>#REF!</v>
      </c>
      <c r="D221" s="98" t="e">
        <f>#REF!+#REF!-#REF!</f>
        <v>#REF!</v>
      </c>
      <c r="E221" s="98" t="e">
        <f>'2.8.Felúj.'!#REF!+'2.8.Felúj.'!#REF!-'2.8.Felúj.'!#REF!</f>
        <v>#REF!</v>
      </c>
      <c r="F221" s="98" t="e">
        <f>'2.5.Céltart'!#REF!+'2.5.Céltart'!#REF!-'2.5.Céltart'!#REF!</f>
        <v>#REF!</v>
      </c>
      <c r="G221" s="98" t="e">
        <f>#REF!+#REF!-#REF!</f>
        <v>#REF!</v>
      </c>
      <c r="H221" s="98" t="e">
        <f>#REF!+#REF!-#REF!</f>
        <v>#REF!</v>
      </c>
      <c r="I221" s="98" t="e">
        <f>#REF!+#REF!-#REF!</f>
        <v>#REF!</v>
      </c>
      <c r="J221" t="e">
        <f>#REF!+#REF!-#REF!</f>
        <v>#REF!</v>
      </c>
      <c r="K221" s="98" t="e">
        <f>#REF!+#REF!-#REF!</f>
        <v>#REF!</v>
      </c>
    </row>
    <row r="222" spans="1:11" ht="12.75">
      <c r="A222" s="98" t="e">
        <f>#REF!+#REF!-#REF!</f>
        <v>#REF!</v>
      </c>
      <c r="B222" s="98" t="e">
        <f>#REF!+#REF!-#REF!</f>
        <v>#REF!</v>
      </c>
      <c r="C222" s="98" t="e">
        <f>#REF!+#REF!-#REF!</f>
        <v>#REF!</v>
      </c>
      <c r="D222" s="98" t="e">
        <f>#REF!+#REF!-#REF!</f>
        <v>#REF!</v>
      </c>
      <c r="E222" s="98" t="e">
        <f>'2.8.Felúj.'!#REF!+'2.8.Felúj.'!#REF!-'2.8.Felúj.'!#REF!</f>
        <v>#REF!</v>
      </c>
      <c r="F222" s="98" t="e">
        <f>'2.5.Céltart'!#REF!+'2.5.Céltart'!#REF!-'2.5.Céltart'!#REF!</f>
        <v>#REF!</v>
      </c>
      <c r="G222" s="98" t="e">
        <f>#REF!+#REF!-#REF!</f>
        <v>#REF!</v>
      </c>
      <c r="H222" s="98" t="e">
        <f>#REF!+#REF!-#REF!</f>
        <v>#REF!</v>
      </c>
      <c r="I222" s="98" t="e">
        <f>#REF!+#REF!-#REF!</f>
        <v>#REF!</v>
      </c>
      <c r="J222" t="e">
        <f>#REF!+#REF!-#REF!</f>
        <v>#REF!</v>
      </c>
      <c r="K222" s="98" t="e">
        <f>#REF!+#REF!-#REF!</f>
        <v>#REF!</v>
      </c>
    </row>
    <row r="223" spans="1:11" ht="12.75">
      <c r="A223" s="98" t="e">
        <f>#REF!+#REF!-#REF!</f>
        <v>#REF!</v>
      </c>
      <c r="B223" s="98" t="e">
        <f>#REF!+#REF!-#REF!</f>
        <v>#REF!</v>
      </c>
      <c r="C223" s="98" t="e">
        <f>#REF!+#REF!-#REF!</f>
        <v>#REF!</v>
      </c>
      <c r="D223" s="98" t="e">
        <f>#REF!+#REF!-#REF!</f>
        <v>#REF!</v>
      </c>
      <c r="E223" s="98" t="e">
        <f>'2.8.Felúj.'!#REF!+'2.8.Felúj.'!#REF!-'2.8.Felúj.'!#REF!</f>
        <v>#REF!</v>
      </c>
      <c r="F223" s="98" t="e">
        <f>'2.5.Céltart'!#REF!+'2.5.Céltart'!#REF!-'2.5.Céltart'!#REF!</f>
        <v>#REF!</v>
      </c>
      <c r="G223" s="98" t="e">
        <f>#REF!+#REF!-#REF!</f>
        <v>#REF!</v>
      </c>
      <c r="H223" s="98" t="e">
        <f>#REF!+#REF!-#REF!</f>
        <v>#REF!</v>
      </c>
      <c r="I223" s="98" t="e">
        <f>#REF!+#REF!-#REF!</f>
        <v>#REF!</v>
      </c>
      <c r="J223" t="e">
        <f>#REF!+#REF!-#REF!</f>
        <v>#REF!</v>
      </c>
      <c r="K223" s="98" t="e">
        <f>#REF!+#REF!-#REF!</f>
        <v>#REF!</v>
      </c>
    </row>
    <row r="224" spans="1:11" ht="12.75">
      <c r="A224" s="98" t="e">
        <f>#REF!+#REF!-#REF!</f>
        <v>#REF!</v>
      </c>
      <c r="B224" s="98" t="e">
        <f>#REF!+#REF!-#REF!</f>
        <v>#REF!</v>
      </c>
      <c r="C224" s="98" t="e">
        <f>#REF!+#REF!-#REF!</f>
        <v>#REF!</v>
      </c>
      <c r="D224" s="98" t="e">
        <f>#REF!+#REF!-#REF!</f>
        <v>#REF!</v>
      </c>
      <c r="E224" s="98" t="e">
        <f>'2.8.Felúj.'!#REF!+'2.8.Felúj.'!#REF!-'2.8.Felúj.'!#REF!</f>
        <v>#REF!</v>
      </c>
      <c r="F224" s="98" t="e">
        <f>'2.5.Céltart'!#REF!+'2.5.Céltart'!#REF!-'2.5.Céltart'!#REF!</f>
        <v>#REF!</v>
      </c>
      <c r="G224" s="98" t="e">
        <f>#REF!+#REF!-#REF!</f>
        <v>#REF!</v>
      </c>
      <c r="H224" s="98" t="e">
        <f>#REF!+#REF!-#REF!</f>
        <v>#REF!</v>
      </c>
      <c r="I224" s="98" t="e">
        <f>#REF!+#REF!-#REF!</f>
        <v>#REF!</v>
      </c>
      <c r="J224" t="e">
        <f>#REF!+#REF!-#REF!</f>
        <v>#REF!</v>
      </c>
      <c r="K224" s="98" t="e">
        <f>#REF!+#REF!-#REF!</f>
        <v>#REF!</v>
      </c>
    </row>
    <row r="225" spans="1:11" ht="12.75">
      <c r="A225" s="98" t="e">
        <f>#REF!+#REF!-#REF!</f>
        <v>#REF!</v>
      </c>
      <c r="B225" s="98" t="e">
        <f>#REF!+#REF!-#REF!</f>
        <v>#REF!</v>
      </c>
      <c r="C225" s="98" t="e">
        <f>#REF!+#REF!-#REF!</f>
        <v>#REF!</v>
      </c>
      <c r="D225" s="98" t="e">
        <f>#REF!+#REF!-#REF!</f>
        <v>#REF!</v>
      </c>
      <c r="E225" s="98" t="e">
        <f>'2.8.Felúj.'!#REF!+'2.8.Felúj.'!#REF!-'2.8.Felúj.'!#REF!</f>
        <v>#REF!</v>
      </c>
      <c r="F225" s="98" t="e">
        <f>'2.5.Céltart'!#REF!+'2.5.Céltart'!#REF!-'2.5.Céltart'!#REF!</f>
        <v>#REF!</v>
      </c>
      <c r="G225" s="98" t="e">
        <f>#REF!+#REF!-#REF!</f>
        <v>#REF!</v>
      </c>
      <c r="H225" s="98" t="e">
        <f>#REF!+#REF!-#REF!</f>
        <v>#REF!</v>
      </c>
      <c r="I225" s="98" t="e">
        <f>#REF!+#REF!-#REF!</f>
        <v>#REF!</v>
      </c>
      <c r="J225" t="e">
        <f>#REF!+#REF!-#REF!</f>
        <v>#REF!</v>
      </c>
      <c r="K225" s="98" t="e">
        <f>#REF!+#REF!-#REF!</f>
        <v>#REF!</v>
      </c>
    </row>
    <row r="226" spans="1:11" ht="12.75">
      <c r="A226" s="98" t="e">
        <f>#REF!+#REF!-#REF!</f>
        <v>#REF!</v>
      </c>
      <c r="B226" s="98" t="e">
        <f>#REF!+#REF!-#REF!</f>
        <v>#REF!</v>
      </c>
      <c r="C226" s="98" t="e">
        <f>#REF!+#REF!-#REF!</f>
        <v>#REF!</v>
      </c>
      <c r="D226" s="98" t="e">
        <f>#REF!+#REF!-#REF!</f>
        <v>#REF!</v>
      </c>
      <c r="E226" s="98" t="e">
        <f>'2.8.Felúj.'!#REF!+'2.8.Felúj.'!#REF!-'2.8.Felúj.'!#REF!</f>
        <v>#REF!</v>
      </c>
      <c r="F226" s="98" t="e">
        <f>'2.5.Céltart'!#REF!+'2.5.Céltart'!#REF!-'2.5.Céltart'!#REF!</f>
        <v>#REF!</v>
      </c>
      <c r="G226" s="98" t="e">
        <f>#REF!+#REF!-#REF!</f>
        <v>#REF!</v>
      </c>
      <c r="H226" s="98" t="e">
        <f>#REF!+#REF!-#REF!</f>
        <v>#REF!</v>
      </c>
      <c r="I226" s="98" t="e">
        <f>#REF!+#REF!-#REF!</f>
        <v>#REF!</v>
      </c>
      <c r="J226" t="e">
        <f>#REF!+#REF!-#REF!</f>
        <v>#REF!</v>
      </c>
      <c r="K226" s="98" t="e">
        <f>#REF!+#REF!-#REF!</f>
        <v>#REF!</v>
      </c>
    </row>
    <row r="227" spans="1:11" ht="12.75">
      <c r="A227" s="98" t="e">
        <f>#REF!+#REF!-#REF!</f>
        <v>#REF!</v>
      </c>
      <c r="B227" s="98" t="e">
        <f>#REF!+#REF!-#REF!</f>
        <v>#REF!</v>
      </c>
      <c r="C227" s="98" t="e">
        <f>#REF!+#REF!-#REF!</f>
        <v>#REF!</v>
      </c>
      <c r="D227" s="98" t="e">
        <f>#REF!+#REF!-#REF!</f>
        <v>#REF!</v>
      </c>
      <c r="E227" s="98" t="e">
        <f>'2.8.Felúj.'!#REF!+'2.8.Felúj.'!#REF!-'2.8.Felúj.'!#REF!</f>
        <v>#REF!</v>
      </c>
      <c r="F227" s="98" t="e">
        <f>'2.5.Céltart'!#REF!+'2.5.Céltart'!#REF!-'2.5.Céltart'!#REF!</f>
        <v>#REF!</v>
      </c>
      <c r="G227" s="98" t="e">
        <f>#REF!+#REF!-#REF!</f>
        <v>#REF!</v>
      </c>
      <c r="H227" s="98" t="e">
        <f>#REF!+#REF!-#REF!</f>
        <v>#REF!</v>
      </c>
      <c r="I227" s="98" t="e">
        <f>#REF!+#REF!-#REF!</f>
        <v>#REF!</v>
      </c>
      <c r="J227" t="e">
        <f>#REF!+#REF!-#REF!</f>
        <v>#REF!</v>
      </c>
      <c r="K227" s="98" t="e">
        <f>#REF!+#REF!-#REF!</f>
        <v>#REF!</v>
      </c>
    </row>
    <row r="228" spans="1:11" ht="12.75">
      <c r="A228" s="98" t="e">
        <f>#REF!+#REF!-#REF!</f>
        <v>#REF!</v>
      </c>
      <c r="B228" s="98" t="e">
        <f>#REF!+#REF!-#REF!</f>
        <v>#REF!</v>
      </c>
      <c r="C228" s="98" t="e">
        <f>#REF!+#REF!-#REF!</f>
        <v>#REF!</v>
      </c>
      <c r="D228" s="98" t="e">
        <f>#REF!+#REF!-#REF!</f>
        <v>#REF!</v>
      </c>
      <c r="E228" s="98" t="e">
        <f>'2.8.Felúj.'!#REF!+'2.8.Felúj.'!#REF!-'2.8.Felúj.'!#REF!</f>
        <v>#REF!</v>
      </c>
      <c r="F228" s="98" t="e">
        <f>'2.5.Céltart'!#REF!+'2.5.Céltart'!#REF!-'2.5.Céltart'!#REF!</f>
        <v>#REF!</v>
      </c>
      <c r="G228" s="98" t="e">
        <f>#REF!+#REF!-#REF!</f>
        <v>#REF!</v>
      </c>
      <c r="H228" s="98" t="e">
        <f>#REF!+#REF!-#REF!</f>
        <v>#REF!</v>
      </c>
      <c r="I228" s="98" t="e">
        <f>#REF!+#REF!-#REF!</f>
        <v>#REF!</v>
      </c>
      <c r="J228" t="e">
        <f>#REF!+#REF!-#REF!</f>
        <v>#REF!</v>
      </c>
      <c r="K228" s="98" t="e">
        <f>#REF!+#REF!-#REF!</f>
        <v>#REF!</v>
      </c>
    </row>
    <row r="229" spans="1:11" ht="12.75">
      <c r="A229" s="98" t="e">
        <f>#REF!+#REF!-#REF!</f>
        <v>#REF!</v>
      </c>
      <c r="B229" s="98" t="e">
        <f>#REF!+#REF!-#REF!</f>
        <v>#REF!</v>
      </c>
      <c r="C229" s="98" t="e">
        <f>#REF!+#REF!-#REF!</f>
        <v>#REF!</v>
      </c>
      <c r="D229" s="98" t="e">
        <f>#REF!+#REF!-#REF!</f>
        <v>#REF!</v>
      </c>
      <c r="E229" s="98" t="e">
        <f>'2.8.Felúj.'!#REF!+'2.8.Felúj.'!#REF!-'2.8.Felúj.'!#REF!</f>
        <v>#REF!</v>
      </c>
      <c r="F229" s="98" t="e">
        <f>'2.5.Céltart'!#REF!+'2.5.Céltart'!#REF!-'2.5.Céltart'!#REF!</f>
        <v>#REF!</v>
      </c>
      <c r="G229" s="98" t="e">
        <f>#REF!+#REF!-#REF!</f>
        <v>#REF!</v>
      </c>
      <c r="H229" s="98" t="e">
        <f>#REF!+#REF!-#REF!</f>
        <v>#REF!</v>
      </c>
      <c r="I229" s="98" t="e">
        <f>#REF!+#REF!-#REF!</f>
        <v>#REF!</v>
      </c>
      <c r="J229" t="e">
        <f>#REF!+#REF!-#REF!</f>
        <v>#REF!</v>
      </c>
      <c r="K229" s="98" t="e">
        <f>#REF!+#REF!-#REF!</f>
        <v>#REF!</v>
      </c>
    </row>
    <row r="230" spans="1:11" ht="12.75">
      <c r="A230" s="98" t="e">
        <f>#REF!+#REF!-#REF!</f>
        <v>#REF!</v>
      </c>
      <c r="B230" s="98" t="e">
        <f>#REF!+#REF!-#REF!</f>
        <v>#REF!</v>
      </c>
      <c r="C230" s="98" t="e">
        <f>#REF!+#REF!-#REF!</f>
        <v>#REF!</v>
      </c>
      <c r="D230" s="98" t="e">
        <f>#REF!+#REF!-#REF!</f>
        <v>#REF!</v>
      </c>
      <c r="E230" s="98" t="e">
        <f>'2.8.Felúj.'!#REF!+'2.8.Felúj.'!#REF!-'2.8.Felúj.'!#REF!</f>
        <v>#REF!</v>
      </c>
      <c r="F230" s="98" t="e">
        <f>'2.5.Céltart'!#REF!+'2.5.Céltart'!#REF!-'2.5.Céltart'!#REF!</f>
        <v>#REF!</v>
      </c>
      <c r="G230" s="98" t="e">
        <f>#REF!+#REF!-#REF!</f>
        <v>#REF!</v>
      </c>
      <c r="H230" s="98" t="e">
        <f>#REF!+#REF!-#REF!</f>
        <v>#REF!</v>
      </c>
      <c r="I230" s="98" t="e">
        <f>#REF!+#REF!-#REF!</f>
        <v>#REF!</v>
      </c>
      <c r="J230" t="e">
        <f>#REF!+#REF!-#REF!</f>
        <v>#REF!</v>
      </c>
      <c r="K230" s="98" t="e">
        <f>#REF!+#REF!-#REF!</f>
        <v>#REF!</v>
      </c>
    </row>
    <row r="231" spans="1:11" ht="12.75">
      <c r="A231" s="98" t="e">
        <f>#REF!+#REF!-#REF!</f>
        <v>#REF!</v>
      </c>
      <c r="B231" s="98" t="e">
        <f>#REF!+#REF!-#REF!</f>
        <v>#REF!</v>
      </c>
      <c r="C231" s="98" t="e">
        <f>#REF!+#REF!-#REF!</f>
        <v>#REF!</v>
      </c>
      <c r="D231" s="98" t="e">
        <f>#REF!+#REF!-#REF!</f>
        <v>#REF!</v>
      </c>
      <c r="E231" s="98" t="e">
        <f>'2.8.Felúj.'!#REF!+'2.8.Felúj.'!#REF!-'2.8.Felúj.'!#REF!</f>
        <v>#REF!</v>
      </c>
      <c r="F231" s="98" t="e">
        <f>'2.5.Céltart'!#REF!+'2.5.Céltart'!#REF!-'2.5.Céltart'!#REF!</f>
        <v>#REF!</v>
      </c>
      <c r="G231" s="98" t="e">
        <f>#REF!+#REF!-#REF!</f>
        <v>#REF!</v>
      </c>
      <c r="H231" s="98" t="e">
        <f>#REF!+#REF!-#REF!</f>
        <v>#REF!</v>
      </c>
      <c r="I231" s="98" t="e">
        <f>#REF!+#REF!-#REF!</f>
        <v>#REF!</v>
      </c>
      <c r="J231" t="e">
        <f>#REF!+#REF!-#REF!</f>
        <v>#REF!</v>
      </c>
      <c r="K231" s="98" t="e">
        <f>#REF!+#REF!-#REF!</f>
        <v>#REF!</v>
      </c>
    </row>
    <row r="232" spans="1:11" ht="12.75">
      <c r="A232" s="98" t="e">
        <f>#REF!+#REF!-#REF!</f>
        <v>#REF!</v>
      </c>
      <c r="B232" s="98" t="e">
        <f>#REF!+#REF!-#REF!</f>
        <v>#REF!</v>
      </c>
      <c r="C232" s="98" t="e">
        <f>#REF!+#REF!-#REF!</f>
        <v>#REF!</v>
      </c>
      <c r="D232" s="98" t="e">
        <f>#REF!+#REF!-#REF!</f>
        <v>#REF!</v>
      </c>
      <c r="E232" s="98" t="e">
        <f>'2.8.Felúj.'!#REF!+'2.8.Felúj.'!#REF!-'2.8.Felúj.'!#REF!</f>
        <v>#REF!</v>
      </c>
      <c r="F232" s="98" t="e">
        <f>'2.5.Céltart'!#REF!+'2.5.Céltart'!#REF!-'2.5.Céltart'!#REF!</f>
        <v>#REF!</v>
      </c>
      <c r="G232" s="98" t="e">
        <f>#REF!+#REF!-#REF!</f>
        <v>#REF!</v>
      </c>
      <c r="H232" s="98" t="e">
        <f>#REF!+#REF!-#REF!</f>
        <v>#REF!</v>
      </c>
      <c r="I232" s="98" t="e">
        <f>#REF!+#REF!-#REF!</f>
        <v>#REF!</v>
      </c>
      <c r="J232" t="e">
        <f>#REF!+#REF!-#REF!</f>
        <v>#REF!</v>
      </c>
      <c r="K232" s="98" t="e">
        <f>#REF!+#REF!-#REF!</f>
        <v>#REF!</v>
      </c>
    </row>
    <row r="233" spans="1:11" ht="12.75">
      <c r="A233" s="98" t="e">
        <f>#REF!+#REF!-#REF!</f>
        <v>#REF!</v>
      </c>
      <c r="B233" s="98" t="e">
        <f>#REF!+#REF!-#REF!</f>
        <v>#REF!</v>
      </c>
      <c r="C233" s="98" t="e">
        <f>#REF!+#REF!-#REF!</f>
        <v>#REF!</v>
      </c>
      <c r="D233" s="98" t="e">
        <f>#REF!+#REF!-#REF!</f>
        <v>#REF!</v>
      </c>
      <c r="E233" s="98" t="e">
        <f>'2.8.Felúj.'!#REF!+'2.8.Felúj.'!#REF!-'2.8.Felúj.'!#REF!</f>
        <v>#REF!</v>
      </c>
      <c r="F233" s="98" t="e">
        <f>'2.5.Céltart'!#REF!+'2.5.Céltart'!#REF!-'2.5.Céltart'!#REF!</f>
        <v>#REF!</v>
      </c>
      <c r="G233" s="98" t="e">
        <f>#REF!+#REF!-#REF!</f>
        <v>#REF!</v>
      </c>
      <c r="H233" s="98" t="e">
        <f>#REF!+#REF!-#REF!</f>
        <v>#REF!</v>
      </c>
      <c r="I233" s="98" t="e">
        <f>#REF!+#REF!-#REF!</f>
        <v>#REF!</v>
      </c>
      <c r="J233" t="e">
        <f>#REF!+#REF!-#REF!</f>
        <v>#REF!</v>
      </c>
      <c r="K233" s="98" t="e">
        <f>#REF!+#REF!-#REF!</f>
        <v>#REF!</v>
      </c>
    </row>
    <row r="234" spans="1:11" ht="12.75">
      <c r="A234" s="98" t="e">
        <f>#REF!+#REF!-#REF!</f>
        <v>#REF!</v>
      </c>
      <c r="B234" s="98" t="e">
        <f>#REF!+#REF!-#REF!</f>
        <v>#REF!</v>
      </c>
      <c r="C234" s="98" t="e">
        <f>#REF!+#REF!-#REF!</f>
        <v>#REF!</v>
      </c>
      <c r="D234" s="98" t="e">
        <f>#REF!+#REF!-#REF!</f>
        <v>#REF!</v>
      </c>
      <c r="E234" s="98" t="e">
        <f>'2.8.Felúj.'!#REF!+'2.8.Felúj.'!#REF!-'2.8.Felúj.'!#REF!</f>
        <v>#REF!</v>
      </c>
      <c r="F234" s="98" t="e">
        <f>'2.5.Céltart'!#REF!+'2.5.Céltart'!#REF!-'2.5.Céltart'!#REF!</f>
        <v>#REF!</v>
      </c>
      <c r="G234" s="98" t="e">
        <f>#REF!+#REF!-#REF!</f>
        <v>#REF!</v>
      </c>
      <c r="H234" s="98" t="e">
        <f>#REF!+#REF!-#REF!</f>
        <v>#REF!</v>
      </c>
      <c r="I234" s="98" t="e">
        <f>#REF!+#REF!-#REF!</f>
        <v>#REF!</v>
      </c>
      <c r="J234" t="e">
        <f>#REF!+#REF!-#REF!</f>
        <v>#REF!</v>
      </c>
      <c r="K234" s="98" t="e">
        <f>#REF!+#REF!-#REF!</f>
        <v>#REF!</v>
      </c>
    </row>
    <row r="235" spans="1:11" ht="12.75">
      <c r="A235" s="98" t="e">
        <f>#REF!+#REF!-#REF!</f>
        <v>#REF!</v>
      </c>
      <c r="B235" s="98" t="e">
        <f>#REF!+#REF!-#REF!</f>
        <v>#REF!</v>
      </c>
      <c r="C235" s="98" t="e">
        <f>#REF!+#REF!-#REF!</f>
        <v>#REF!</v>
      </c>
      <c r="D235" s="98" t="e">
        <f>#REF!+#REF!-#REF!</f>
        <v>#REF!</v>
      </c>
      <c r="E235" s="98" t="e">
        <f>'2.8.Felúj.'!#REF!+'2.8.Felúj.'!#REF!-'2.8.Felúj.'!#REF!</f>
        <v>#REF!</v>
      </c>
      <c r="F235" s="98" t="e">
        <f>'2.5.Céltart'!#REF!+'2.5.Céltart'!#REF!-'2.5.Céltart'!#REF!</f>
        <v>#REF!</v>
      </c>
      <c r="G235" s="98" t="e">
        <f>#REF!+#REF!-#REF!</f>
        <v>#REF!</v>
      </c>
      <c r="H235" s="98" t="e">
        <f>#REF!+#REF!-#REF!</f>
        <v>#REF!</v>
      </c>
      <c r="I235" s="98" t="e">
        <f>#REF!+#REF!-#REF!</f>
        <v>#REF!</v>
      </c>
      <c r="J235" t="e">
        <f>#REF!+#REF!-#REF!</f>
        <v>#REF!</v>
      </c>
      <c r="K235" s="98" t="e">
        <f>#REF!+#REF!-#REF!</f>
        <v>#REF!</v>
      </c>
    </row>
    <row r="236" spans="1:11" ht="12.75">
      <c r="A236" s="98" t="e">
        <f>#REF!+#REF!-#REF!</f>
        <v>#REF!</v>
      </c>
      <c r="B236" s="98" t="e">
        <f>#REF!+#REF!-#REF!</f>
        <v>#REF!</v>
      </c>
      <c r="C236" s="98" t="e">
        <f>#REF!+#REF!-#REF!</f>
        <v>#REF!</v>
      </c>
      <c r="D236" s="98" t="e">
        <f>#REF!+#REF!-#REF!</f>
        <v>#REF!</v>
      </c>
      <c r="E236" s="98" t="e">
        <f>'2.8.Felúj.'!#REF!+'2.8.Felúj.'!#REF!-'2.8.Felúj.'!#REF!</f>
        <v>#REF!</v>
      </c>
      <c r="F236" s="98" t="e">
        <f>'2.5.Céltart'!#REF!+'2.5.Céltart'!#REF!-'2.5.Céltart'!#REF!</f>
        <v>#REF!</v>
      </c>
      <c r="G236" s="98" t="e">
        <f>#REF!+#REF!-#REF!</f>
        <v>#REF!</v>
      </c>
      <c r="H236" s="98" t="e">
        <f>#REF!+#REF!-#REF!</f>
        <v>#REF!</v>
      </c>
      <c r="I236" s="98" t="e">
        <f>#REF!+#REF!-#REF!</f>
        <v>#REF!</v>
      </c>
      <c r="J236" t="e">
        <f>#REF!+#REF!-#REF!</f>
        <v>#REF!</v>
      </c>
      <c r="K236" s="98" t="e">
        <f>#REF!+#REF!-#REF!</f>
        <v>#REF!</v>
      </c>
    </row>
    <row r="237" spans="1:11" ht="12.75">
      <c r="A237" s="98" t="e">
        <f>#REF!+#REF!-#REF!</f>
        <v>#REF!</v>
      </c>
      <c r="B237" s="98" t="e">
        <f>#REF!+#REF!-#REF!</f>
        <v>#REF!</v>
      </c>
      <c r="C237" s="98" t="e">
        <f>#REF!+#REF!-#REF!</f>
        <v>#REF!</v>
      </c>
      <c r="D237" s="98" t="e">
        <f>#REF!+#REF!-#REF!</f>
        <v>#REF!</v>
      </c>
      <c r="E237" s="98" t="e">
        <f>'2.8.Felúj.'!#REF!+'2.8.Felúj.'!#REF!-'2.8.Felúj.'!#REF!</f>
        <v>#REF!</v>
      </c>
      <c r="F237" s="98" t="e">
        <f>'2.5.Céltart'!#REF!+'2.5.Céltart'!#REF!-'2.5.Céltart'!#REF!</f>
        <v>#REF!</v>
      </c>
      <c r="G237" s="98" t="e">
        <f>#REF!+#REF!-#REF!</f>
        <v>#REF!</v>
      </c>
      <c r="H237" s="98" t="e">
        <f>#REF!+#REF!-#REF!</f>
        <v>#REF!</v>
      </c>
      <c r="I237" s="98" t="e">
        <f>#REF!+#REF!-#REF!</f>
        <v>#REF!</v>
      </c>
      <c r="J237" t="e">
        <f>#REF!+#REF!-#REF!</f>
        <v>#REF!</v>
      </c>
      <c r="K237" s="98" t="e">
        <f>#REF!+#REF!-#REF!</f>
        <v>#REF!</v>
      </c>
    </row>
    <row r="238" spans="1:11" ht="12.75">
      <c r="A238" s="98" t="e">
        <f>#REF!+#REF!-#REF!</f>
        <v>#REF!</v>
      </c>
      <c r="B238" s="98" t="e">
        <f>#REF!+#REF!-#REF!</f>
        <v>#REF!</v>
      </c>
      <c r="C238" s="98" t="e">
        <f>#REF!+#REF!-#REF!</f>
        <v>#REF!</v>
      </c>
      <c r="D238" s="98" t="e">
        <f>#REF!+#REF!-#REF!</f>
        <v>#REF!</v>
      </c>
      <c r="E238" s="98" t="e">
        <f>'2.8.Felúj.'!#REF!+'2.8.Felúj.'!#REF!-'2.8.Felúj.'!#REF!</f>
        <v>#REF!</v>
      </c>
      <c r="F238" s="98" t="e">
        <f>'2.5.Céltart'!#REF!+'2.5.Céltart'!#REF!-'2.5.Céltart'!#REF!</f>
        <v>#REF!</v>
      </c>
      <c r="G238" s="98" t="e">
        <f>#REF!+#REF!-#REF!</f>
        <v>#REF!</v>
      </c>
      <c r="H238" s="98" t="e">
        <f>#REF!+#REF!-#REF!</f>
        <v>#REF!</v>
      </c>
      <c r="I238" s="98" t="e">
        <f>#REF!+#REF!-#REF!</f>
        <v>#REF!</v>
      </c>
      <c r="J238" t="e">
        <f>#REF!+#REF!-#REF!</f>
        <v>#REF!</v>
      </c>
      <c r="K238" s="98" t="e">
        <f>#REF!+#REF!-#REF!</f>
        <v>#REF!</v>
      </c>
    </row>
    <row r="239" spans="1:11" ht="12.75">
      <c r="A239" s="98" t="e">
        <f>#REF!+#REF!-#REF!</f>
        <v>#REF!</v>
      </c>
      <c r="B239" s="98" t="e">
        <f>#REF!+#REF!-#REF!</f>
        <v>#REF!</v>
      </c>
      <c r="C239" s="98" t="e">
        <f>#REF!+#REF!-#REF!</f>
        <v>#REF!</v>
      </c>
      <c r="D239" s="98" t="e">
        <f>#REF!+#REF!-#REF!</f>
        <v>#REF!</v>
      </c>
      <c r="E239" s="98" t="e">
        <f>'2.8.Felúj.'!#REF!+'2.8.Felúj.'!#REF!-'2.8.Felúj.'!#REF!</f>
        <v>#REF!</v>
      </c>
      <c r="F239" s="98" t="e">
        <f>'2.5.Céltart'!#REF!+'2.5.Céltart'!#REF!-'2.5.Céltart'!#REF!</f>
        <v>#REF!</v>
      </c>
      <c r="G239" s="98" t="e">
        <f>#REF!+#REF!-#REF!</f>
        <v>#REF!</v>
      </c>
      <c r="H239" s="98" t="e">
        <f>#REF!+#REF!-#REF!</f>
        <v>#REF!</v>
      </c>
      <c r="I239" s="98" t="e">
        <f>#REF!+#REF!-#REF!</f>
        <v>#REF!</v>
      </c>
      <c r="J239" t="e">
        <f>#REF!+#REF!-#REF!</f>
        <v>#REF!</v>
      </c>
      <c r="K239" s="98" t="e">
        <f>#REF!+#REF!-#REF!</f>
        <v>#REF!</v>
      </c>
    </row>
    <row r="240" spans="1:11" ht="12.75">
      <c r="A240" s="98" t="e">
        <f>#REF!+#REF!-#REF!</f>
        <v>#REF!</v>
      </c>
      <c r="B240" s="98" t="e">
        <f>#REF!+#REF!-#REF!</f>
        <v>#REF!</v>
      </c>
      <c r="C240" s="98" t="e">
        <f>#REF!+#REF!-#REF!</f>
        <v>#REF!</v>
      </c>
      <c r="D240" s="98" t="e">
        <f>#REF!+#REF!-#REF!</f>
        <v>#REF!</v>
      </c>
      <c r="E240" s="98" t="e">
        <f>'2.8.Felúj.'!#REF!+'2.8.Felúj.'!#REF!-'2.8.Felúj.'!#REF!</f>
        <v>#REF!</v>
      </c>
      <c r="F240" s="98" t="e">
        <f>'2.5.Céltart'!#REF!+'2.5.Céltart'!#REF!-'2.5.Céltart'!#REF!</f>
        <v>#REF!</v>
      </c>
      <c r="G240" s="98" t="e">
        <f>#REF!+#REF!-#REF!</f>
        <v>#REF!</v>
      </c>
      <c r="H240" s="98" t="e">
        <f>#REF!+#REF!-#REF!</f>
        <v>#REF!</v>
      </c>
      <c r="I240" s="98" t="e">
        <f>#REF!+#REF!-#REF!</f>
        <v>#REF!</v>
      </c>
      <c r="J240" t="e">
        <f>#REF!+#REF!-#REF!</f>
        <v>#REF!</v>
      </c>
      <c r="K240" s="98" t="e">
        <f>#REF!+#REF!-#REF!</f>
        <v>#REF!</v>
      </c>
    </row>
    <row r="241" spans="1:11" ht="12.75">
      <c r="A241" s="98" t="e">
        <f>#REF!+#REF!-#REF!</f>
        <v>#REF!</v>
      </c>
      <c r="B241" s="98" t="e">
        <f>#REF!+#REF!-#REF!</f>
        <v>#REF!</v>
      </c>
      <c r="C241" s="98" t="e">
        <f>#REF!+#REF!-#REF!</f>
        <v>#REF!</v>
      </c>
      <c r="D241" s="98" t="e">
        <f>#REF!+#REF!-#REF!</f>
        <v>#REF!</v>
      </c>
      <c r="E241" s="98" t="e">
        <f>'2.8.Felúj.'!#REF!+'2.8.Felúj.'!#REF!-'2.8.Felúj.'!#REF!</f>
        <v>#REF!</v>
      </c>
      <c r="F241" s="98" t="e">
        <f>'2.5.Céltart'!#REF!+'2.5.Céltart'!#REF!-'2.5.Céltart'!#REF!</f>
        <v>#REF!</v>
      </c>
      <c r="G241" s="98" t="e">
        <f>#REF!+#REF!-#REF!</f>
        <v>#REF!</v>
      </c>
      <c r="H241" s="98" t="e">
        <f>#REF!+#REF!-#REF!</f>
        <v>#REF!</v>
      </c>
      <c r="I241" s="98" t="e">
        <f>#REF!+#REF!-#REF!</f>
        <v>#REF!</v>
      </c>
      <c r="J241" t="e">
        <f>#REF!+#REF!-#REF!</f>
        <v>#REF!</v>
      </c>
      <c r="K241" s="98" t="e">
        <f>#REF!+#REF!-#REF!</f>
        <v>#REF!</v>
      </c>
    </row>
    <row r="242" spans="1:11" ht="12.75">
      <c r="A242" s="98" t="e">
        <f>#REF!+#REF!-#REF!</f>
        <v>#REF!</v>
      </c>
      <c r="B242" s="98" t="e">
        <f>#REF!+#REF!-#REF!</f>
        <v>#REF!</v>
      </c>
      <c r="C242" s="98" t="e">
        <f>#REF!+#REF!-#REF!</f>
        <v>#REF!</v>
      </c>
      <c r="D242" s="98" t="e">
        <f>#REF!+#REF!-#REF!</f>
        <v>#REF!</v>
      </c>
      <c r="E242" s="98" t="e">
        <f>'2.8.Felúj.'!#REF!+'2.8.Felúj.'!#REF!-'2.8.Felúj.'!#REF!</f>
        <v>#REF!</v>
      </c>
      <c r="F242" s="98" t="e">
        <f>'2.5.Céltart'!#REF!+'2.5.Céltart'!#REF!-'2.5.Céltart'!#REF!</f>
        <v>#REF!</v>
      </c>
      <c r="G242" s="98" t="e">
        <f>#REF!+#REF!-#REF!</f>
        <v>#REF!</v>
      </c>
      <c r="H242" s="98" t="e">
        <f>#REF!+#REF!-#REF!</f>
        <v>#REF!</v>
      </c>
      <c r="I242" s="98" t="e">
        <f>#REF!+#REF!-#REF!</f>
        <v>#REF!</v>
      </c>
      <c r="J242" t="e">
        <f>#REF!+#REF!-#REF!</f>
        <v>#REF!</v>
      </c>
      <c r="K242" s="98" t="e">
        <f>#REF!+#REF!-#REF!</f>
        <v>#REF!</v>
      </c>
    </row>
    <row r="243" spans="1:11" ht="12.75">
      <c r="A243" s="98" t="e">
        <f>#REF!+#REF!-#REF!</f>
        <v>#REF!</v>
      </c>
      <c r="B243" s="98" t="e">
        <f>#REF!+#REF!-#REF!</f>
        <v>#REF!</v>
      </c>
      <c r="C243" s="98" t="e">
        <f>#REF!+#REF!-#REF!</f>
        <v>#REF!</v>
      </c>
      <c r="D243" s="98" t="e">
        <f>#REF!+#REF!-#REF!</f>
        <v>#REF!</v>
      </c>
      <c r="E243" s="98" t="e">
        <f>'2.8.Felúj.'!#REF!+'2.8.Felúj.'!#REF!-'2.8.Felúj.'!#REF!</f>
        <v>#REF!</v>
      </c>
      <c r="F243" s="98" t="e">
        <f>'2.5.Céltart'!#REF!+'2.5.Céltart'!#REF!-'2.5.Céltart'!#REF!</f>
        <v>#REF!</v>
      </c>
      <c r="G243" s="98" t="e">
        <f>#REF!+#REF!-#REF!</f>
        <v>#REF!</v>
      </c>
      <c r="H243" s="98" t="e">
        <f>#REF!+#REF!-#REF!</f>
        <v>#REF!</v>
      </c>
      <c r="I243" s="98" t="e">
        <f>#REF!+#REF!-#REF!</f>
        <v>#REF!</v>
      </c>
      <c r="J243" t="e">
        <f>#REF!+#REF!-#REF!</f>
        <v>#REF!</v>
      </c>
      <c r="K243" s="98" t="e">
        <f>#REF!+#REF!-#REF!</f>
        <v>#REF!</v>
      </c>
    </row>
    <row r="244" spans="1:11" ht="12.75">
      <c r="A244" s="98" t="e">
        <f>#REF!+#REF!-#REF!</f>
        <v>#REF!</v>
      </c>
      <c r="B244" s="98" t="e">
        <f>#REF!+#REF!-#REF!</f>
        <v>#REF!</v>
      </c>
      <c r="C244" s="98" t="e">
        <f>#REF!+#REF!-#REF!</f>
        <v>#REF!</v>
      </c>
      <c r="D244" s="98" t="e">
        <f>#REF!+#REF!-#REF!</f>
        <v>#REF!</v>
      </c>
      <c r="E244" s="98" t="e">
        <f>'2.8.Felúj.'!#REF!+'2.8.Felúj.'!#REF!-'2.8.Felúj.'!#REF!</f>
        <v>#REF!</v>
      </c>
      <c r="F244" s="98" t="e">
        <f>'2.5.Céltart'!#REF!+'2.5.Céltart'!#REF!-'2.5.Céltart'!#REF!</f>
        <v>#REF!</v>
      </c>
      <c r="G244" s="98" t="e">
        <f>#REF!+#REF!-#REF!</f>
        <v>#REF!</v>
      </c>
      <c r="H244" s="98" t="e">
        <f>#REF!+#REF!-#REF!</f>
        <v>#REF!</v>
      </c>
      <c r="I244" s="98" t="e">
        <f>#REF!+#REF!-#REF!</f>
        <v>#REF!</v>
      </c>
      <c r="J244" t="e">
        <f>#REF!+#REF!-#REF!</f>
        <v>#REF!</v>
      </c>
      <c r="K244" s="98" t="e">
        <f>#REF!+#REF!-#REF!</f>
        <v>#REF!</v>
      </c>
    </row>
    <row r="245" spans="1:11" ht="12.75">
      <c r="A245" s="98" t="e">
        <f>#REF!+#REF!-#REF!</f>
        <v>#REF!</v>
      </c>
      <c r="B245" s="98" t="e">
        <f>#REF!+#REF!-#REF!</f>
        <v>#REF!</v>
      </c>
      <c r="C245" s="98" t="e">
        <f>#REF!+#REF!-#REF!</f>
        <v>#REF!</v>
      </c>
      <c r="D245" s="98" t="e">
        <f>#REF!+#REF!-#REF!</f>
        <v>#REF!</v>
      </c>
      <c r="E245" s="98" t="e">
        <f>'2.8.Felúj.'!#REF!+'2.8.Felúj.'!#REF!-'2.8.Felúj.'!#REF!</f>
        <v>#REF!</v>
      </c>
      <c r="F245" s="98" t="e">
        <f>'2.5.Céltart'!#REF!+'2.5.Céltart'!#REF!-'2.5.Céltart'!#REF!</f>
        <v>#REF!</v>
      </c>
      <c r="G245" s="98" t="e">
        <f>#REF!+#REF!-#REF!</f>
        <v>#REF!</v>
      </c>
      <c r="H245" s="98" t="e">
        <f>#REF!+#REF!-#REF!</f>
        <v>#REF!</v>
      </c>
      <c r="I245" s="98" t="e">
        <f>#REF!+#REF!-#REF!</f>
        <v>#REF!</v>
      </c>
      <c r="J245" t="e">
        <f>#REF!+#REF!-#REF!</f>
        <v>#REF!</v>
      </c>
      <c r="K245" s="98" t="e">
        <f>#REF!+#REF!-#REF!</f>
        <v>#REF!</v>
      </c>
    </row>
    <row r="246" spans="1:11" ht="12.75">
      <c r="A246" s="98" t="e">
        <f>#REF!+#REF!-#REF!</f>
        <v>#REF!</v>
      </c>
      <c r="B246" s="98" t="e">
        <f>#REF!+#REF!-#REF!</f>
        <v>#REF!</v>
      </c>
      <c r="C246" s="98" t="e">
        <f>#REF!+#REF!-#REF!</f>
        <v>#REF!</v>
      </c>
      <c r="D246" s="98" t="e">
        <f>#REF!+#REF!-#REF!</f>
        <v>#REF!</v>
      </c>
      <c r="E246" s="98" t="e">
        <f>'2.8.Felúj.'!#REF!+'2.8.Felúj.'!#REF!-'2.8.Felúj.'!#REF!</f>
        <v>#REF!</v>
      </c>
      <c r="F246" s="98" t="e">
        <f>'2.5.Céltart'!#REF!+'2.5.Céltart'!#REF!-'2.5.Céltart'!#REF!</f>
        <v>#REF!</v>
      </c>
      <c r="G246" s="98" t="e">
        <f>#REF!+#REF!-#REF!</f>
        <v>#REF!</v>
      </c>
      <c r="H246" s="98" t="e">
        <f>#REF!+#REF!-#REF!</f>
        <v>#REF!</v>
      </c>
      <c r="I246" s="98" t="e">
        <f>#REF!+#REF!-#REF!</f>
        <v>#REF!</v>
      </c>
      <c r="J246" t="e">
        <f>#REF!+#REF!-#REF!</f>
        <v>#REF!</v>
      </c>
      <c r="K246" s="98" t="e">
        <f>#REF!+#REF!-#REF!</f>
        <v>#REF!</v>
      </c>
    </row>
    <row r="247" spans="1:11" ht="12.75">
      <c r="A247" s="98" t="e">
        <f>#REF!+#REF!-#REF!</f>
        <v>#REF!</v>
      </c>
      <c r="B247" s="98" t="e">
        <f>#REF!+#REF!-#REF!</f>
        <v>#REF!</v>
      </c>
      <c r="C247" s="98" t="e">
        <f>#REF!+#REF!-#REF!</f>
        <v>#REF!</v>
      </c>
      <c r="D247" s="98" t="e">
        <f>#REF!+#REF!-#REF!</f>
        <v>#REF!</v>
      </c>
      <c r="E247" s="98" t="e">
        <f>'2.8.Felúj.'!#REF!+'2.8.Felúj.'!#REF!-'2.8.Felúj.'!#REF!</f>
        <v>#REF!</v>
      </c>
      <c r="F247" s="98" t="e">
        <f>'2.5.Céltart'!#REF!+'2.5.Céltart'!#REF!-'2.5.Céltart'!#REF!</f>
        <v>#REF!</v>
      </c>
      <c r="G247" s="98" t="e">
        <f>#REF!+#REF!-#REF!</f>
        <v>#REF!</v>
      </c>
      <c r="H247" s="98" t="e">
        <f>#REF!+#REF!-#REF!</f>
        <v>#REF!</v>
      </c>
      <c r="I247" s="98" t="e">
        <f>#REF!+#REF!-#REF!</f>
        <v>#REF!</v>
      </c>
      <c r="J247" t="e">
        <f>#REF!+#REF!-#REF!</f>
        <v>#REF!</v>
      </c>
      <c r="K247" s="98" t="e">
        <f>#REF!+#REF!-#REF!</f>
        <v>#REF!</v>
      </c>
    </row>
    <row r="248" spans="1:11" ht="12.75">
      <c r="A248" s="98" t="e">
        <f>#REF!+#REF!-#REF!</f>
        <v>#REF!</v>
      </c>
      <c r="B248" s="98" t="e">
        <f>#REF!+#REF!-#REF!</f>
        <v>#REF!</v>
      </c>
      <c r="C248" s="98" t="e">
        <f>#REF!+#REF!-#REF!</f>
        <v>#REF!</v>
      </c>
      <c r="D248" s="98" t="e">
        <f>#REF!+#REF!-#REF!</f>
        <v>#REF!</v>
      </c>
      <c r="E248" s="98" t="e">
        <f>'2.8.Felúj.'!#REF!+'2.8.Felúj.'!#REF!-'2.8.Felúj.'!#REF!</f>
        <v>#REF!</v>
      </c>
      <c r="F248" s="98" t="e">
        <f>'2.5.Céltart'!#REF!+'2.5.Céltart'!#REF!-'2.5.Céltart'!#REF!</f>
        <v>#REF!</v>
      </c>
      <c r="G248" s="98" t="e">
        <f>#REF!+#REF!-#REF!</f>
        <v>#REF!</v>
      </c>
      <c r="H248" s="98" t="e">
        <f>#REF!+#REF!-#REF!</f>
        <v>#REF!</v>
      </c>
      <c r="I248" s="98" t="e">
        <f>#REF!+#REF!-#REF!</f>
        <v>#REF!</v>
      </c>
      <c r="J248" t="e">
        <f>#REF!+#REF!-#REF!</f>
        <v>#REF!</v>
      </c>
      <c r="K248" s="98" t="e">
        <f>#REF!+#REF!-#REF!</f>
        <v>#REF!</v>
      </c>
    </row>
    <row r="249" spans="1:11" ht="12.75">
      <c r="A249" s="98" t="e">
        <f>#REF!+#REF!-#REF!</f>
        <v>#REF!</v>
      </c>
      <c r="B249" s="98" t="e">
        <f>#REF!+#REF!-#REF!</f>
        <v>#REF!</v>
      </c>
      <c r="C249" s="98" t="e">
        <f>#REF!+#REF!-#REF!</f>
        <v>#REF!</v>
      </c>
      <c r="D249" s="98" t="e">
        <f>#REF!+#REF!-#REF!</f>
        <v>#REF!</v>
      </c>
      <c r="E249" s="98" t="e">
        <f>'2.8.Felúj.'!#REF!+'2.8.Felúj.'!#REF!-'2.8.Felúj.'!#REF!</f>
        <v>#REF!</v>
      </c>
      <c r="F249" s="98" t="e">
        <f>'2.5.Céltart'!#REF!+'2.5.Céltart'!#REF!-'2.5.Céltart'!#REF!</f>
        <v>#REF!</v>
      </c>
      <c r="G249" s="98" t="e">
        <f>#REF!+#REF!-#REF!</f>
        <v>#REF!</v>
      </c>
      <c r="H249" s="98" t="e">
        <f>#REF!+#REF!-#REF!</f>
        <v>#REF!</v>
      </c>
      <c r="I249" s="98" t="e">
        <f>#REF!+#REF!-#REF!</f>
        <v>#REF!</v>
      </c>
      <c r="J249" t="e">
        <f>#REF!+#REF!-#REF!</f>
        <v>#REF!</v>
      </c>
      <c r="K249" s="98" t="e">
        <f>#REF!+#REF!-#REF!</f>
        <v>#REF!</v>
      </c>
    </row>
    <row r="250" spans="1:11" ht="12.75">
      <c r="A250" s="98" t="e">
        <f>#REF!+#REF!-#REF!</f>
        <v>#REF!</v>
      </c>
      <c r="B250" s="98" t="e">
        <f>#REF!+#REF!-#REF!</f>
        <v>#REF!</v>
      </c>
      <c r="C250" s="98" t="e">
        <f>#REF!+#REF!-#REF!</f>
        <v>#REF!</v>
      </c>
      <c r="D250" s="98" t="e">
        <f>#REF!+#REF!-#REF!</f>
        <v>#REF!</v>
      </c>
      <c r="E250" s="98" t="e">
        <f>'2.8.Felúj.'!#REF!+'2.8.Felúj.'!#REF!-'2.8.Felúj.'!#REF!</f>
        <v>#REF!</v>
      </c>
      <c r="F250" s="98" t="e">
        <f>'2.5.Céltart'!#REF!+'2.5.Céltart'!#REF!-'2.5.Céltart'!#REF!</f>
        <v>#REF!</v>
      </c>
      <c r="G250" s="98" t="e">
        <f>#REF!+#REF!-#REF!</f>
        <v>#REF!</v>
      </c>
      <c r="H250" s="98" t="e">
        <f>#REF!+#REF!-#REF!</f>
        <v>#REF!</v>
      </c>
      <c r="I250" s="98" t="e">
        <f>#REF!+#REF!-#REF!</f>
        <v>#REF!</v>
      </c>
      <c r="J250" t="e">
        <f>#REF!+#REF!-#REF!</f>
        <v>#REF!</v>
      </c>
      <c r="K250" s="98" t="e">
        <f>#REF!+#REF!-#REF!</f>
        <v>#REF!</v>
      </c>
    </row>
    <row r="251" spans="1:11" ht="12.75">
      <c r="A251" s="98" t="e">
        <f>#REF!+#REF!-#REF!</f>
        <v>#REF!</v>
      </c>
      <c r="B251" s="98" t="e">
        <f>#REF!+#REF!-#REF!</f>
        <v>#REF!</v>
      </c>
      <c r="C251" s="98" t="e">
        <f>#REF!+#REF!-#REF!</f>
        <v>#REF!</v>
      </c>
      <c r="D251" s="98" t="e">
        <f>#REF!+#REF!-#REF!</f>
        <v>#REF!</v>
      </c>
      <c r="E251" s="98" t="e">
        <f>'2.8.Felúj.'!#REF!+'2.8.Felúj.'!#REF!-'2.8.Felúj.'!#REF!</f>
        <v>#REF!</v>
      </c>
      <c r="F251" s="98" t="e">
        <f>'2.5.Céltart'!#REF!+'2.5.Céltart'!#REF!-'2.5.Céltart'!#REF!</f>
        <v>#REF!</v>
      </c>
      <c r="G251" s="98" t="e">
        <f>#REF!+#REF!-#REF!</f>
        <v>#REF!</v>
      </c>
      <c r="H251" s="98" t="e">
        <f>#REF!+#REF!-#REF!</f>
        <v>#REF!</v>
      </c>
      <c r="I251" s="98" t="e">
        <f>#REF!+#REF!-#REF!</f>
        <v>#REF!</v>
      </c>
      <c r="J251" t="e">
        <f>#REF!+#REF!-#REF!</f>
        <v>#REF!</v>
      </c>
      <c r="K251" s="98" t="e">
        <f>#REF!+#REF!-#REF!</f>
        <v>#REF!</v>
      </c>
    </row>
    <row r="252" spans="1:11" ht="12.75">
      <c r="A252" s="98" t="e">
        <f>#REF!+#REF!-#REF!</f>
        <v>#REF!</v>
      </c>
      <c r="B252" s="98" t="e">
        <f>#REF!+#REF!-#REF!</f>
        <v>#REF!</v>
      </c>
      <c r="C252" s="98" t="e">
        <f>#REF!+#REF!-#REF!</f>
        <v>#REF!</v>
      </c>
      <c r="D252" s="98" t="e">
        <f>#REF!+#REF!-#REF!</f>
        <v>#REF!</v>
      </c>
      <c r="E252" s="98" t="e">
        <f>'2.8.Felúj.'!#REF!+'2.8.Felúj.'!#REF!-'2.8.Felúj.'!#REF!</f>
        <v>#REF!</v>
      </c>
      <c r="F252" s="98" t="e">
        <f>'2.5.Céltart'!#REF!+'2.5.Céltart'!#REF!-'2.5.Céltart'!#REF!</f>
        <v>#REF!</v>
      </c>
      <c r="G252" s="98" t="e">
        <f>#REF!+#REF!-#REF!</f>
        <v>#REF!</v>
      </c>
      <c r="H252" s="98" t="e">
        <f>#REF!+#REF!-#REF!</f>
        <v>#REF!</v>
      </c>
      <c r="I252" s="98" t="e">
        <f>#REF!+#REF!-#REF!</f>
        <v>#REF!</v>
      </c>
      <c r="J252" t="e">
        <f>#REF!+#REF!-#REF!</f>
        <v>#REF!</v>
      </c>
      <c r="K252" s="98" t="e">
        <f>#REF!+#REF!-#REF!</f>
        <v>#REF!</v>
      </c>
    </row>
    <row r="253" spans="1:11" ht="12.75">
      <c r="A253" s="98" t="e">
        <f>#REF!+#REF!-#REF!</f>
        <v>#REF!</v>
      </c>
      <c r="B253" s="98" t="e">
        <f>#REF!+#REF!-#REF!</f>
        <v>#REF!</v>
      </c>
      <c r="C253" s="98" t="e">
        <f>#REF!+#REF!-#REF!</f>
        <v>#REF!</v>
      </c>
      <c r="D253" s="98" t="e">
        <f>#REF!+#REF!-#REF!</f>
        <v>#REF!</v>
      </c>
      <c r="E253" s="98" t="e">
        <f>'2.8.Felúj.'!#REF!+'2.8.Felúj.'!#REF!-'2.8.Felúj.'!#REF!</f>
        <v>#REF!</v>
      </c>
      <c r="F253" s="98" t="e">
        <f>'2.5.Céltart'!#REF!+'2.5.Céltart'!#REF!-'2.5.Céltart'!#REF!</f>
        <v>#REF!</v>
      </c>
      <c r="G253" s="98" t="e">
        <f>#REF!+#REF!-#REF!</f>
        <v>#REF!</v>
      </c>
      <c r="H253" s="98" t="e">
        <f>#REF!+#REF!-#REF!</f>
        <v>#REF!</v>
      </c>
      <c r="I253" s="98" t="e">
        <f>#REF!+#REF!-#REF!</f>
        <v>#REF!</v>
      </c>
      <c r="J253" t="e">
        <f>#REF!+#REF!-#REF!</f>
        <v>#REF!</v>
      </c>
      <c r="K253" s="98" t="e">
        <f>#REF!+#REF!-#REF!</f>
        <v>#REF!</v>
      </c>
    </row>
    <row r="254" spans="1:11" ht="12.75">
      <c r="A254" s="98" t="e">
        <f>#REF!+#REF!-#REF!</f>
        <v>#REF!</v>
      </c>
      <c r="B254" s="98" t="e">
        <f>#REF!+#REF!-#REF!</f>
        <v>#REF!</v>
      </c>
      <c r="C254" s="98" t="e">
        <f>#REF!+#REF!-#REF!</f>
        <v>#REF!</v>
      </c>
      <c r="D254" s="98" t="e">
        <f>#REF!+#REF!-#REF!</f>
        <v>#REF!</v>
      </c>
      <c r="E254" s="98" t="e">
        <f>'2.8.Felúj.'!#REF!+'2.8.Felúj.'!#REF!-'2.8.Felúj.'!#REF!</f>
        <v>#REF!</v>
      </c>
      <c r="F254" s="98" t="e">
        <f>'2.5.Céltart'!#REF!+'2.5.Céltart'!#REF!-'2.5.Céltart'!#REF!</f>
        <v>#REF!</v>
      </c>
      <c r="G254" s="98" t="e">
        <f>#REF!+#REF!-#REF!</f>
        <v>#REF!</v>
      </c>
      <c r="H254" s="98" t="e">
        <f>#REF!+#REF!-#REF!</f>
        <v>#REF!</v>
      </c>
      <c r="I254" s="98" t="e">
        <f>#REF!+#REF!-#REF!</f>
        <v>#REF!</v>
      </c>
      <c r="J254" t="e">
        <f>#REF!+#REF!-#REF!</f>
        <v>#REF!</v>
      </c>
      <c r="K254" s="98" t="e">
        <f>#REF!+#REF!-#REF!</f>
        <v>#REF!</v>
      </c>
    </row>
    <row r="255" spans="1:11" ht="12.75">
      <c r="A255" s="98" t="e">
        <f>#REF!+#REF!-#REF!</f>
        <v>#REF!</v>
      </c>
      <c r="B255" s="98" t="e">
        <f>#REF!+#REF!-#REF!</f>
        <v>#REF!</v>
      </c>
      <c r="C255" s="98" t="e">
        <f>#REF!+#REF!-#REF!</f>
        <v>#REF!</v>
      </c>
      <c r="D255" s="98" t="e">
        <f>#REF!+#REF!-#REF!</f>
        <v>#REF!</v>
      </c>
      <c r="E255" s="98" t="e">
        <f>'2.8.Felúj.'!#REF!+'2.8.Felúj.'!#REF!-'2.8.Felúj.'!#REF!</f>
        <v>#REF!</v>
      </c>
      <c r="F255" s="98" t="e">
        <f>'2.5.Céltart'!#REF!+'2.5.Céltart'!#REF!-'2.5.Céltart'!#REF!</f>
        <v>#REF!</v>
      </c>
      <c r="G255" s="98" t="e">
        <f>#REF!+#REF!-#REF!</f>
        <v>#REF!</v>
      </c>
      <c r="H255" s="98" t="e">
        <f>#REF!+#REF!-#REF!</f>
        <v>#REF!</v>
      </c>
      <c r="I255" s="98" t="e">
        <f>#REF!+#REF!-#REF!</f>
        <v>#REF!</v>
      </c>
      <c r="J255" t="e">
        <f>#REF!+#REF!-#REF!</f>
        <v>#REF!</v>
      </c>
      <c r="K255" s="98" t="e">
        <f>#REF!+#REF!-#REF!</f>
        <v>#REF!</v>
      </c>
    </row>
    <row r="256" spans="1:11" ht="12.75">
      <c r="A256" s="98" t="e">
        <f>#REF!+#REF!-#REF!</f>
        <v>#REF!</v>
      </c>
      <c r="B256" s="98" t="e">
        <f>#REF!+#REF!-#REF!</f>
        <v>#REF!</v>
      </c>
      <c r="C256" s="98" t="e">
        <f>#REF!+#REF!-#REF!</f>
        <v>#REF!</v>
      </c>
      <c r="D256" s="98" t="e">
        <f>#REF!+#REF!-#REF!</f>
        <v>#REF!</v>
      </c>
      <c r="E256" s="98" t="e">
        <f>'2.8.Felúj.'!#REF!+'2.8.Felúj.'!#REF!-'2.8.Felúj.'!#REF!</f>
        <v>#REF!</v>
      </c>
      <c r="F256" s="98" t="e">
        <f>'2.5.Céltart'!#REF!+'2.5.Céltart'!#REF!-'2.5.Céltart'!#REF!</f>
        <v>#REF!</v>
      </c>
      <c r="G256" s="98" t="e">
        <f>#REF!+#REF!-#REF!</f>
        <v>#REF!</v>
      </c>
      <c r="H256" s="98" t="e">
        <f>#REF!+#REF!-#REF!</f>
        <v>#REF!</v>
      </c>
      <c r="I256" s="98" t="e">
        <f>#REF!+#REF!-#REF!</f>
        <v>#REF!</v>
      </c>
      <c r="J256" t="e">
        <f>#REF!+#REF!-#REF!</f>
        <v>#REF!</v>
      </c>
      <c r="K256" s="98" t="e">
        <f>#REF!+#REF!-#REF!</f>
        <v>#REF!</v>
      </c>
    </row>
    <row r="257" spans="1:11" ht="12.75">
      <c r="A257" s="98" t="e">
        <f>#REF!+#REF!-#REF!</f>
        <v>#REF!</v>
      </c>
      <c r="B257" s="98" t="e">
        <f>#REF!+#REF!-#REF!</f>
        <v>#REF!</v>
      </c>
      <c r="C257" s="98" t="e">
        <f>#REF!+#REF!-#REF!</f>
        <v>#REF!</v>
      </c>
      <c r="D257" s="98" t="e">
        <f>#REF!+#REF!-#REF!</f>
        <v>#REF!</v>
      </c>
      <c r="E257" s="98" t="e">
        <f>'2.8.Felúj.'!#REF!+'2.8.Felúj.'!#REF!-'2.8.Felúj.'!#REF!</f>
        <v>#REF!</v>
      </c>
      <c r="F257" s="98" t="e">
        <f>'2.5.Céltart'!#REF!+'2.5.Céltart'!#REF!-'2.5.Céltart'!#REF!</f>
        <v>#REF!</v>
      </c>
      <c r="G257" s="98" t="e">
        <f>#REF!+#REF!-#REF!</f>
        <v>#REF!</v>
      </c>
      <c r="H257" s="98" t="e">
        <f>#REF!+#REF!-#REF!</f>
        <v>#REF!</v>
      </c>
      <c r="I257" s="98" t="e">
        <f>#REF!+#REF!-#REF!</f>
        <v>#REF!</v>
      </c>
      <c r="J257" t="e">
        <f>#REF!+#REF!-#REF!</f>
        <v>#REF!</v>
      </c>
      <c r="K257" s="98" t="e">
        <f>#REF!+#REF!-#REF!</f>
        <v>#REF!</v>
      </c>
    </row>
    <row r="258" spans="1:11" ht="12.75">
      <c r="A258" s="98" t="e">
        <f>#REF!+#REF!-#REF!</f>
        <v>#REF!</v>
      </c>
      <c r="B258" s="98" t="e">
        <f>#REF!+#REF!-#REF!</f>
        <v>#REF!</v>
      </c>
      <c r="C258" s="98" t="e">
        <f>#REF!+#REF!-#REF!</f>
        <v>#REF!</v>
      </c>
      <c r="D258" s="98" t="e">
        <f>#REF!+#REF!-#REF!</f>
        <v>#REF!</v>
      </c>
      <c r="E258" s="98" t="e">
        <f>'2.8.Felúj.'!#REF!+'2.8.Felúj.'!#REF!-'2.8.Felúj.'!#REF!</f>
        <v>#REF!</v>
      </c>
      <c r="F258" s="98" t="e">
        <f>'2.5.Céltart'!#REF!+'2.5.Céltart'!#REF!-'2.5.Céltart'!#REF!</f>
        <v>#REF!</v>
      </c>
      <c r="G258" s="98" t="e">
        <f>#REF!+#REF!-#REF!</f>
        <v>#REF!</v>
      </c>
      <c r="H258" s="98" t="e">
        <f>#REF!+#REF!-#REF!</f>
        <v>#REF!</v>
      </c>
      <c r="I258" s="98" t="e">
        <f>#REF!+#REF!-#REF!</f>
        <v>#REF!</v>
      </c>
      <c r="J258" t="e">
        <f>#REF!+#REF!-#REF!</f>
        <v>#REF!</v>
      </c>
      <c r="K258" s="98" t="e">
        <f>#REF!+#REF!-#REF!</f>
        <v>#REF!</v>
      </c>
    </row>
    <row r="259" spans="1:11" ht="12.75">
      <c r="A259" s="98" t="e">
        <f>#REF!+#REF!-#REF!</f>
        <v>#REF!</v>
      </c>
      <c r="B259" s="98" t="e">
        <f>#REF!+#REF!-#REF!</f>
        <v>#REF!</v>
      </c>
      <c r="C259" s="98" t="e">
        <f>#REF!+#REF!-#REF!</f>
        <v>#REF!</v>
      </c>
      <c r="D259" s="98" t="e">
        <f>#REF!+#REF!-#REF!</f>
        <v>#REF!</v>
      </c>
      <c r="E259" s="98" t="e">
        <f>'2.8.Felúj.'!#REF!+'2.8.Felúj.'!#REF!-'2.8.Felúj.'!#REF!</f>
        <v>#REF!</v>
      </c>
      <c r="F259" s="98" t="e">
        <f>'2.5.Céltart'!#REF!+'2.5.Céltart'!#REF!-'2.5.Céltart'!#REF!</f>
        <v>#REF!</v>
      </c>
      <c r="G259" s="98" t="e">
        <f>#REF!+#REF!-#REF!</f>
        <v>#REF!</v>
      </c>
      <c r="H259" s="98" t="e">
        <f>#REF!+#REF!-#REF!</f>
        <v>#REF!</v>
      </c>
      <c r="I259" s="98" t="e">
        <f>#REF!+#REF!-#REF!</f>
        <v>#REF!</v>
      </c>
      <c r="J259" t="e">
        <f>#REF!+#REF!-#REF!</f>
        <v>#REF!</v>
      </c>
      <c r="K259" s="98" t="e">
        <f>#REF!+#REF!-#REF!</f>
        <v>#REF!</v>
      </c>
    </row>
    <row r="260" spans="1:11" ht="12.75">
      <c r="A260" s="98" t="e">
        <f>#REF!+#REF!-#REF!</f>
        <v>#REF!</v>
      </c>
      <c r="B260" s="98" t="e">
        <f>#REF!+#REF!-#REF!</f>
        <v>#REF!</v>
      </c>
      <c r="C260" s="98" t="e">
        <f>#REF!+#REF!-#REF!</f>
        <v>#REF!</v>
      </c>
      <c r="D260" s="98" t="e">
        <f>#REF!+#REF!-#REF!</f>
        <v>#REF!</v>
      </c>
      <c r="E260" s="98" t="e">
        <f>'2.8.Felúj.'!#REF!+'2.8.Felúj.'!#REF!-'2.8.Felúj.'!#REF!</f>
        <v>#REF!</v>
      </c>
      <c r="F260" s="98" t="e">
        <f>'2.5.Céltart'!#REF!+'2.5.Céltart'!#REF!-'2.5.Céltart'!#REF!</f>
        <v>#REF!</v>
      </c>
      <c r="G260" s="98" t="e">
        <f>#REF!+#REF!-#REF!</f>
        <v>#REF!</v>
      </c>
      <c r="H260" s="98" t="e">
        <f>#REF!+#REF!-#REF!</f>
        <v>#REF!</v>
      </c>
      <c r="I260" s="98" t="e">
        <f>#REF!+#REF!-#REF!</f>
        <v>#REF!</v>
      </c>
      <c r="J260" t="e">
        <f>#REF!+#REF!-#REF!</f>
        <v>#REF!</v>
      </c>
      <c r="K260" s="98" t="e">
        <f>#REF!+#REF!-#REF!</f>
        <v>#REF!</v>
      </c>
    </row>
    <row r="261" spans="1:11" ht="12.75">
      <c r="A261" s="98" t="e">
        <f>#REF!+#REF!-#REF!</f>
        <v>#REF!</v>
      </c>
      <c r="B261" s="98" t="e">
        <f>#REF!+#REF!-#REF!</f>
        <v>#REF!</v>
      </c>
      <c r="C261" s="98" t="e">
        <f>#REF!+#REF!-#REF!</f>
        <v>#REF!</v>
      </c>
      <c r="D261" s="98" t="e">
        <f>#REF!+#REF!-#REF!</f>
        <v>#REF!</v>
      </c>
      <c r="E261" s="98" t="e">
        <f>'2.8.Felúj.'!#REF!+'2.8.Felúj.'!#REF!-'2.8.Felúj.'!#REF!</f>
        <v>#REF!</v>
      </c>
      <c r="F261" s="98" t="e">
        <f>'2.5.Céltart'!#REF!+'2.5.Céltart'!#REF!-'2.5.Céltart'!#REF!</f>
        <v>#REF!</v>
      </c>
      <c r="G261" s="98" t="e">
        <f>#REF!+#REF!-#REF!</f>
        <v>#REF!</v>
      </c>
      <c r="H261" s="98" t="e">
        <f>#REF!+#REF!-#REF!</f>
        <v>#REF!</v>
      </c>
      <c r="I261" s="98" t="e">
        <f>#REF!+#REF!-#REF!</f>
        <v>#REF!</v>
      </c>
      <c r="J261" t="e">
        <f>#REF!+#REF!-#REF!</f>
        <v>#REF!</v>
      </c>
      <c r="K261" s="98" t="e">
        <f>#REF!+#REF!-#REF!</f>
        <v>#REF!</v>
      </c>
    </row>
    <row r="262" spans="1:11" ht="12.75">
      <c r="A262" s="98" t="e">
        <f>#REF!+#REF!-#REF!</f>
        <v>#REF!</v>
      </c>
      <c r="B262" s="98" t="e">
        <f>#REF!+#REF!-#REF!</f>
        <v>#REF!</v>
      </c>
      <c r="C262" s="98" t="e">
        <f>#REF!+#REF!-#REF!</f>
        <v>#REF!</v>
      </c>
      <c r="D262" s="98" t="e">
        <f>#REF!+#REF!-#REF!</f>
        <v>#REF!</v>
      </c>
      <c r="E262" s="98" t="e">
        <f>'2.8.Felúj.'!#REF!+'2.8.Felúj.'!#REF!-'2.8.Felúj.'!#REF!</f>
        <v>#REF!</v>
      </c>
      <c r="F262" s="98" t="e">
        <f>'2.5.Céltart'!#REF!+'2.5.Céltart'!#REF!-'2.5.Céltart'!#REF!</f>
        <v>#REF!</v>
      </c>
      <c r="G262" s="98" t="e">
        <f>#REF!+#REF!-#REF!</f>
        <v>#REF!</v>
      </c>
      <c r="H262" s="98" t="e">
        <f>#REF!+#REF!-#REF!</f>
        <v>#REF!</v>
      </c>
      <c r="I262" s="98" t="e">
        <f>#REF!+#REF!-#REF!</f>
        <v>#REF!</v>
      </c>
      <c r="J262" t="e">
        <f>#REF!+#REF!-#REF!</f>
        <v>#REF!</v>
      </c>
      <c r="K262" s="98" t="e">
        <f>#REF!+#REF!-#REF!</f>
        <v>#REF!</v>
      </c>
    </row>
    <row r="263" spans="1:11" ht="12.75">
      <c r="A263" s="98" t="e">
        <f>#REF!+#REF!-#REF!</f>
        <v>#REF!</v>
      </c>
      <c r="B263" s="98" t="e">
        <f>#REF!+#REF!-#REF!</f>
        <v>#REF!</v>
      </c>
      <c r="C263" s="98" t="e">
        <f>#REF!+#REF!-#REF!</f>
        <v>#REF!</v>
      </c>
      <c r="D263" s="98" t="e">
        <f>#REF!+#REF!-#REF!</f>
        <v>#REF!</v>
      </c>
      <c r="E263" s="98" t="e">
        <f>'2.8.Felúj.'!#REF!+'2.8.Felúj.'!#REF!-'2.8.Felúj.'!#REF!</f>
        <v>#REF!</v>
      </c>
      <c r="F263" s="98" t="e">
        <f>'2.5.Céltart'!#REF!+'2.5.Céltart'!#REF!-'2.5.Céltart'!#REF!</f>
        <v>#REF!</v>
      </c>
      <c r="G263" s="98" t="e">
        <f>#REF!+#REF!-#REF!</f>
        <v>#REF!</v>
      </c>
      <c r="H263" s="98" t="e">
        <f>#REF!+#REF!-#REF!</f>
        <v>#REF!</v>
      </c>
      <c r="I263" s="98" t="e">
        <f>#REF!+#REF!-#REF!</f>
        <v>#REF!</v>
      </c>
      <c r="J263" t="e">
        <f>#REF!+#REF!-#REF!</f>
        <v>#REF!</v>
      </c>
      <c r="K263" s="98" t="e">
        <f>#REF!+#REF!-#REF!</f>
        <v>#REF!</v>
      </c>
    </row>
    <row r="264" spans="1:11" ht="12.75">
      <c r="A264" s="98" t="e">
        <f>#REF!+#REF!-#REF!</f>
        <v>#REF!</v>
      </c>
      <c r="B264" s="98" t="e">
        <f>#REF!+#REF!-#REF!</f>
        <v>#REF!</v>
      </c>
      <c r="C264" s="98" t="e">
        <f>#REF!+#REF!-#REF!</f>
        <v>#REF!</v>
      </c>
      <c r="D264" s="98" t="e">
        <f>#REF!+#REF!-#REF!</f>
        <v>#REF!</v>
      </c>
      <c r="E264" s="98" t="e">
        <f>'2.8.Felúj.'!#REF!+'2.8.Felúj.'!#REF!-'2.8.Felúj.'!#REF!</f>
        <v>#REF!</v>
      </c>
      <c r="F264" s="98" t="e">
        <f>'2.5.Céltart'!#REF!+'2.5.Céltart'!#REF!-'2.5.Céltart'!#REF!</f>
        <v>#REF!</v>
      </c>
      <c r="G264" s="98" t="e">
        <f>#REF!+#REF!-#REF!</f>
        <v>#REF!</v>
      </c>
      <c r="H264" s="98" t="e">
        <f>#REF!+#REF!-#REF!</f>
        <v>#REF!</v>
      </c>
      <c r="I264" s="98" t="e">
        <f>#REF!+#REF!-#REF!</f>
        <v>#REF!</v>
      </c>
      <c r="J264" t="e">
        <f>#REF!+#REF!-#REF!</f>
        <v>#REF!</v>
      </c>
      <c r="K264" s="98" t="e">
        <f>#REF!+#REF!-#REF!</f>
        <v>#REF!</v>
      </c>
    </row>
    <row r="265" spans="1:11" ht="12.75">
      <c r="A265" s="98" t="e">
        <f>#REF!+#REF!-#REF!</f>
        <v>#REF!</v>
      </c>
      <c r="B265" s="98" t="e">
        <f>#REF!+#REF!-#REF!</f>
        <v>#REF!</v>
      </c>
      <c r="C265" s="98" t="e">
        <f>#REF!+#REF!-#REF!</f>
        <v>#REF!</v>
      </c>
      <c r="D265" s="98" t="e">
        <f>#REF!+#REF!-#REF!</f>
        <v>#REF!</v>
      </c>
      <c r="E265" s="98" t="e">
        <f>'2.8.Felúj.'!#REF!+'2.8.Felúj.'!#REF!-'2.8.Felúj.'!#REF!</f>
        <v>#REF!</v>
      </c>
      <c r="F265" s="98" t="e">
        <f>'2.5.Céltart'!#REF!+'2.5.Céltart'!#REF!-'2.5.Céltart'!#REF!</f>
        <v>#REF!</v>
      </c>
      <c r="G265" s="98" t="e">
        <f>#REF!+#REF!-#REF!</f>
        <v>#REF!</v>
      </c>
      <c r="H265" s="98" t="e">
        <f>#REF!+#REF!-#REF!</f>
        <v>#REF!</v>
      </c>
      <c r="I265" s="98" t="e">
        <f>#REF!+#REF!-#REF!</f>
        <v>#REF!</v>
      </c>
      <c r="J265" t="e">
        <f>#REF!+#REF!-#REF!</f>
        <v>#REF!</v>
      </c>
      <c r="K265" s="98" t="e">
        <f>#REF!+#REF!-#REF!</f>
        <v>#REF!</v>
      </c>
    </row>
    <row r="266" spans="1:11" ht="12.75">
      <c r="A266" s="98" t="e">
        <f>#REF!+#REF!-#REF!</f>
        <v>#REF!</v>
      </c>
      <c r="B266" s="98" t="e">
        <f>#REF!+#REF!-#REF!</f>
        <v>#REF!</v>
      </c>
      <c r="C266" s="98" t="e">
        <f>#REF!+#REF!-#REF!</f>
        <v>#REF!</v>
      </c>
      <c r="D266" s="98" t="e">
        <f>#REF!+#REF!-#REF!</f>
        <v>#REF!</v>
      </c>
      <c r="E266" s="98" t="e">
        <f>'2.8.Felúj.'!#REF!+'2.8.Felúj.'!#REF!-'2.8.Felúj.'!#REF!</f>
        <v>#REF!</v>
      </c>
      <c r="F266" s="98" t="e">
        <f>'2.5.Céltart'!#REF!+'2.5.Céltart'!#REF!-'2.5.Céltart'!#REF!</f>
        <v>#REF!</v>
      </c>
      <c r="G266" s="98" t="e">
        <f>#REF!+#REF!-#REF!</f>
        <v>#REF!</v>
      </c>
      <c r="H266" s="98" t="e">
        <f>#REF!+#REF!-#REF!</f>
        <v>#REF!</v>
      </c>
      <c r="I266" s="98" t="e">
        <f>#REF!+#REF!-#REF!</f>
        <v>#REF!</v>
      </c>
      <c r="J266" t="e">
        <f>#REF!+#REF!-#REF!</f>
        <v>#REF!</v>
      </c>
      <c r="K266" s="98" t="e">
        <f>#REF!+#REF!-#REF!</f>
        <v>#REF!</v>
      </c>
    </row>
    <row r="267" spans="1:11" ht="12.75">
      <c r="A267" s="98" t="e">
        <f>#REF!+#REF!-#REF!</f>
        <v>#REF!</v>
      </c>
      <c r="B267" s="98" t="e">
        <f>#REF!+#REF!-#REF!</f>
        <v>#REF!</v>
      </c>
      <c r="C267" s="98" t="e">
        <f>#REF!+#REF!-#REF!</f>
        <v>#REF!</v>
      </c>
      <c r="D267" s="98" t="e">
        <f>#REF!+#REF!-#REF!</f>
        <v>#REF!</v>
      </c>
      <c r="E267" s="98" t="e">
        <f>'2.8.Felúj.'!#REF!+'2.8.Felúj.'!#REF!-'2.8.Felúj.'!#REF!</f>
        <v>#REF!</v>
      </c>
      <c r="F267" s="98" t="e">
        <f>'2.5.Céltart'!#REF!+'2.5.Céltart'!#REF!-'2.5.Céltart'!#REF!</f>
        <v>#REF!</v>
      </c>
      <c r="G267" s="98" t="e">
        <f>#REF!+#REF!-#REF!</f>
        <v>#REF!</v>
      </c>
      <c r="H267" s="98" t="e">
        <f>#REF!+#REF!-#REF!</f>
        <v>#REF!</v>
      </c>
      <c r="I267" s="98" t="e">
        <f>#REF!+#REF!-#REF!</f>
        <v>#REF!</v>
      </c>
      <c r="J267" t="e">
        <f>#REF!+#REF!-#REF!</f>
        <v>#REF!</v>
      </c>
      <c r="K267" s="98" t="e">
        <f>#REF!+#REF!-#REF!</f>
        <v>#REF!</v>
      </c>
    </row>
    <row r="268" spans="1:11" ht="12.75">
      <c r="A268" s="98" t="e">
        <f>#REF!+#REF!-#REF!</f>
        <v>#REF!</v>
      </c>
      <c r="B268" s="98" t="e">
        <f>#REF!+#REF!-#REF!</f>
        <v>#REF!</v>
      </c>
      <c r="C268" s="98" t="e">
        <f>#REF!+#REF!-#REF!</f>
        <v>#REF!</v>
      </c>
      <c r="D268" s="98" t="e">
        <f>#REF!+#REF!-#REF!</f>
        <v>#REF!</v>
      </c>
      <c r="E268" s="98" t="e">
        <f>'2.8.Felúj.'!#REF!+'2.8.Felúj.'!#REF!-'2.8.Felúj.'!#REF!</f>
        <v>#REF!</v>
      </c>
      <c r="F268" s="98" t="e">
        <f>'2.5.Céltart'!#REF!+'2.5.Céltart'!#REF!-'2.5.Céltart'!#REF!</f>
        <v>#REF!</v>
      </c>
      <c r="G268" s="98" t="e">
        <f>#REF!+#REF!-#REF!</f>
        <v>#REF!</v>
      </c>
      <c r="H268" s="98" t="e">
        <f>#REF!+#REF!-#REF!</f>
        <v>#REF!</v>
      </c>
      <c r="I268" s="98" t="e">
        <f>#REF!+#REF!-#REF!</f>
        <v>#REF!</v>
      </c>
      <c r="J268" t="e">
        <f>#REF!+#REF!-#REF!</f>
        <v>#REF!</v>
      </c>
      <c r="K268" s="98" t="e">
        <f>#REF!+#REF!-#REF!</f>
        <v>#REF!</v>
      </c>
    </row>
    <row r="269" spans="1:11" ht="12.75">
      <c r="A269" s="98" t="e">
        <f>#REF!+#REF!-#REF!</f>
        <v>#REF!</v>
      </c>
      <c r="B269" s="98" t="e">
        <f>#REF!+#REF!-#REF!</f>
        <v>#REF!</v>
      </c>
      <c r="C269" s="98" t="e">
        <f>#REF!+#REF!-#REF!</f>
        <v>#REF!</v>
      </c>
      <c r="D269" s="98" t="e">
        <f>#REF!+#REF!-#REF!</f>
        <v>#REF!</v>
      </c>
      <c r="E269" s="98" t="e">
        <f>'2.8.Felúj.'!#REF!+'2.8.Felúj.'!#REF!-'2.8.Felúj.'!#REF!</f>
        <v>#REF!</v>
      </c>
      <c r="F269" s="98" t="e">
        <f>'2.5.Céltart'!#REF!+'2.5.Céltart'!#REF!-'2.5.Céltart'!#REF!</f>
        <v>#REF!</v>
      </c>
      <c r="G269" s="98" t="e">
        <f>#REF!+#REF!-#REF!</f>
        <v>#REF!</v>
      </c>
      <c r="H269" s="98" t="e">
        <f>#REF!+#REF!-#REF!</f>
        <v>#REF!</v>
      </c>
      <c r="I269" s="98" t="e">
        <f>#REF!+#REF!-#REF!</f>
        <v>#REF!</v>
      </c>
      <c r="J269" t="e">
        <f>#REF!+#REF!-#REF!</f>
        <v>#REF!</v>
      </c>
      <c r="K269" s="98" t="e">
        <f>#REF!+#REF!-#REF!</f>
        <v>#REF!</v>
      </c>
    </row>
    <row r="270" spans="1:11" ht="12.75">
      <c r="A270" s="98" t="e">
        <f>#REF!+#REF!-#REF!</f>
        <v>#REF!</v>
      </c>
      <c r="B270" s="98" t="e">
        <f>#REF!+#REF!-#REF!</f>
        <v>#REF!</v>
      </c>
      <c r="C270" s="98" t="e">
        <f>#REF!+#REF!-#REF!</f>
        <v>#REF!</v>
      </c>
      <c r="D270" s="98" t="e">
        <f>#REF!+#REF!-#REF!</f>
        <v>#REF!</v>
      </c>
      <c r="E270" s="98" t="e">
        <f>'2.8.Felúj.'!#REF!+'2.8.Felúj.'!#REF!-'2.8.Felúj.'!#REF!</f>
        <v>#REF!</v>
      </c>
      <c r="F270" s="98" t="e">
        <f>'2.5.Céltart'!#REF!+'2.5.Céltart'!#REF!-'2.5.Céltart'!#REF!</f>
        <v>#REF!</v>
      </c>
      <c r="G270" s="98" t="e">
        <f>#REF!+#REF!-#REF!</f>
        <v>#REF!</v>
      </c>
      <c r="H270" s="98" t="e">
        <f>#REF!+#REF!-#REF!</f>
        <v>#REF!</v>
      </c>
      <c r="I270" s="98" t="e">
        <f>#REF!+#REF!-#REF!</f>
        <v>#REF!</v>
      </c>
      <c r="J270" t="e">
        <f>#REF!+#REF!-#REF!</f>
        <v>#REF!</v>
      </c>
      <c r="K270" s="98" t="e">
        <f>#REF!+#REF!-#REF!</f>
        <v>#REF!</v>
      </c>
    </row>
  </sheetData>
  <sheetProtection/>
  <mergeCells count="4">
    <mergeCell ref="A16:B16"/>
    <mergeCell ref="D16:E16"/>
    <mergeCell ref="A25:K25"/>
    <mergeCell ref="A24:K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unka66"/>
  <dimension ref="A1:I49"/>
  <sheetViews>
    <sheetView zoomScale="115" zoomScaleNormal="115" zoomScalePageLayoutView="0" workbookViewId="0" topLeftCell="A1">
      <pane xSplit="2" ySplit="2" topLeftCell="D16" activePane="bottomRight" state="frozen"/>
      <selection pane="topLeft" activeCell="H18" sqref="H18:H20"/>
      <selection pane="topRight" activeCell="H18" sqref="H18:H20"/>
      <selection pane="bottomLeft" activeCell="H18" sqref="H18:H20"/>
      <selection pane="bottomRight" activeCell="M31" sqref="M31"/>
    </sheetView>
  </sheetViews>
  <sheetFormatPr defaultColWidth="9.140625" defaultRowHeight="12.75"/>
  <cols>
    <col min="1" max="1" width="9.140625" style="1147" customWidth="1"/>
    <col min="2" max="2" width="56.8515625" style="1147" customWidth="1"/>
    <col min="3" max="7" width="14.28125" style="1146" customWidth="1"/>
    <col min="8" max="8" width="14.28125" style="1147" customWidth="1"/>
    <col min="9" max="9" width="14.140625" style="1146" customWidth="1"/>
    <col min="10" max="10" width="12.421875" style="1147" customWidth="1"/>
    <col min="11" max="11" width="10.00390625" style="1147" customWidth="1"/>
    <col min="12" max="16384" width="9.140625" style="1147" customWidth="1"/>
  </cols>
  <sheetData>
    <row r="1" spans="1:8" ht="13.5" customHeight="1">
      <c r="A1" s="1844" t="s">
        <v>523</v>
      </c>
      <c r="B1" s="1906" t="s">
        <v>1190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8" ht="42" customHeight="1" thickBot="1">
      <c r="A2" s="1845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9" s="1386" customFormat="1" ht="31.5">
      <c r="A3" s="1381" t="s">
        <v>185</v>
      </c>
      <c r="B3" s="1410" t="s">
        <v>186</v>
      </c>
      <c r="C3" s="1383"/>
      <c r="D3" s="1383"/>
      <c r="E3" s="1383"/>
      <c r="F3" s="1383"/>
      <c r="G3" s="1383">
        <f>SUM(D3:F3)</f>
        <v>0</v>
      </c>
      <c r="H3" s="1384"/>
      <c r="I3" s="1455"/>
    </row>
    <row r="4" spans="1:9" s="1386" customFormat="1" ht="31.5">
      <c r="A4" s="1387" t="s">
        <v>187</v>
      </c>
      <c r="B4" s="1410" t="s">
        <v>514</v>
      </c>
      <c r="C4" s="1392"/>
      <c r="D4" s="1392"/>
      <c r="E4" s="1392"/>
      <c r="F4" s="1392"/>
      <c r="G4" s="1392">
        <f>SUM(D4:F4)</f>
        <v>0</v>
      </c>
      <c r="H4" s="1393"/>
      <c r="I4" s="1455"/>
    </row>
    <row r="5" spans="1:9" s="1386" customFormat="1" ht="19.5" customHeight="1">
      <c r="A5" s="1387" t="s">
        <v>193</v>
      </c>
      <c r="B5" s="1391" t="s">
        <v>148</v>
      </c>
      <c r="C5" s="1392"/>
      <c r="D5" s="1392"/>
      <c r="E5" s="1392"/>
      <c r="F5" s="1392"/>
      <c r="G5" s="1392">
        <f>SUM(D5:F5)</f>
        <v>0</v>
      </c>
      <c r="H5" s="1393"/>
      <c r="I5" s="1455"/>
    </row>
    <row r="6" spans="1:9" s="1386" customFormat="1" ht="19.5" customHeight="1">
      <c r="A6" s="1387" t="s">
        <v>469</v>
      </c>
      <c r="B6" s="1391" t="s">
        <v>664</v>
      </c>
      <c r="C6" s="1392">
        <v>545</v>
      </c>
      <c r="D6" s="1392"/>
      <c r="E6" s="1392">
        <v>545000</v>
      </c>
      <c r="F6" s="1392"/>
      <c r="G6" s="1392">
        <f>SUM(D6:F6)</f>
        <v>545000</v>
      </c>
      <c r="H6" s="1393">
        <f>G6/(C6*1000)</f>
        <v>1</v>
      </c>
      <c r="I6" s="1455"/>
    </row>
    <row r="7" spans="1:9" s="1386" customFormat="1" ht="19.5" customHeight="1">
      <c r="A7" s="1387" t="s">
        <v>486</v>
      </c>
      <c r="B7" s="1391" t="s">
        <v>663</v>
      </c>
      <c r="C7" s="1392"/>
      <c r="D7" s="1392"/>
      <c r="E7" s="1392"/>
      <c r="F7" s="1392"/>
      <c r="G7" s="1392"/>
      <c r="H7" s="1393"/>
      <c r="I7" s="1455"/>
    </row>
    <row r="8" spans="1:9" s="1386" customFormat="1" ht="19.5" customHeight="1">
      <c r="A8" s="1387" t="s">
        <v>471</v>
      </c>
      <c r="B8" s="1391" t="s">
        <v>475</v>
      </c>
      <c r="C8" s="1392"/>
      <c r="D8" s="1392"/>
      <c r="E8" s="1392"/>
      <c r="F8" s="1392"/>
      <c r="G8" s="1392"/>
      <c r="H8" s="1393"/>
      <c r="I8" s="1455"/>
    </row>
    <row r="9" spans="1:9" s="1386" customFormat="1" ht="19.5" customHeight="1" thickBot="1">
      <c r="A9" s="1394" t="s">
        <v>473</v>
      </c>
      <c r="B9" s="1395" t="s">
        <v>474</v>
      </c>
      <c r="C9" s="1396"/>
      <c r="D9" s="1396"/>
      <c r="E9" s="1396"/>
      <c r="F9" s="1396"/>
      <c r="G9" s="1396"/>
      <c r="H9" s="1397"/>
      <c r="I9" s="1455"/>
    </row>
    <row r="10" spans="1:9" s="1451" customFormat="1" ht="15" customHeight="1" thickBot="1">
      <c r="A10" s="782" t="s">
        <v>476</v>
      </c>
      <c r="B10" s="783" t="s">
        <v>286</v>
      </c>
      <c r="C10" s="784">
        <f>C3+C4+C5+C6+C7+C8+C9</f>
        <v>545</v>
      </c>
      <c r="D10" s="784">
        <f>D3+D4+D5+D6+D7+D8+D9</f>
        <v>0</v>
      </c>
      <c r="E10" s="784">
        <f>E3+E4+E5+E6+E7+E8+E9</f>
        <v>545000</v>
      </c>
      <c r="F10" s="784">
        <f>F3+F4+F5+F6+F7+F8+F9</f>
        <v>0</v>
      </c>
      <c r="G10" s="1139">
        <f>SUM(D10:F10)</f>
        <v>545000</v>
      </c>
      <c r="H10" s="786">
        <f>G10/(C10*1000)</f>
        <v>1</v>
      </c>
      <c r="I10" s="1456"/>
    </row>
    <row r="11" spans="1:9" s="1451" customFormat="1" ht="15" customHeight="1">
      <c r="A11" s="1381" t="s">
        <v>477</v>
      </c>
      <c r="B11" s="1382" t="s">
        <v>478</v>
      </c>
      <c r="C11" s="1383">
        <f>+C12</f>
        <v>45160</v>
      </c>
      <c r="D11" s="1383">
        <f>+D12</f>
        <v>0</v>
      </c>
      <c r="E11" s="1383">
        <f>+E12</f>
        <v>47339371</v>
      </c>
      <c r="F11" s="1383">
        <f>+F12</f>
        <v>0</v>
      </c>
      <c r="G11" s="1383">
        <f>+G12</f>
        <v>47339371</v>
      </c>
      <c r="H11" s="1384">
        <f>G11/(C11*1000)</f>
        <v>1.05</v>
      </c>
      <c r="I11" s="1456"/>
    </row>
    <row r="12" spans="1:9" s="1451" customFormat="1" ht="15" customHeight="1">
      <c r="A12" s="1400" t="s">
        <v>483</v>
      </c>
      <c r="B12" s="1401" t="s">
        <v>484</v>
      </c>
      <c r="C12" s="1402">
        <f>+C13+C16</f>
        <v>45160</v>
      </c>
      <c r="D12" s="1402">
        <f>+D13+D16</f>
        <v>0</v>
      </c>
      <c r="E12" s="1402">
        <f>+E13+E16</f>
        <v>47339371</v>
      </c>
      <c r="F12" s="1402">
        <f>+F13+F16</f>
        <v>0</v>
      </c>
      <c r="G12" s="1402">
        <f aca="true" t="shared" si="0" ref="G12:G19">SUM(D12:F12)</f>
        <v>47339371</v>
      </c>
      <c r="H12" s="1403">
        <f>G12/(C12*1000)</f>
        <v>1.05</v>
      </c>
      <c r="I12" s="1456"/>
    </row>
    <row r="13" spans="1:9" s="1451" customFormat="1" ht="15" customHeight="1">
      <c r="A13" s="1160" t="s">
        <v>479</v>
      </c>
      <c r="B13" s="1166" t="s">
        <v>480</v>
      </c>
      <c r="C13" s="1167">
        <f>SUM(C14:C15)</f>
        <v>71</v>
      </c>
      <c r="D13" s="1167">
        <f>SUM(D14:D15)</f>
        <v>0</v>
      </c>
      <c r="E13" s="1167">
        <f>SUM(E14:E15)</f>
        <v>217921</v>
      </c>
      <c r="F13" s="1167">
        <f>SUM(F14:F15)</f>
        <v>0</v>
      </c>
      <c r="G13" s="1162">
        <f>SUM(D13:F13)</f>
        <v>217921</v>
      </c>
      <c r="H13" s="1168">
        <f>G13/(C13*1000)</f>
        <v>3.07</v>
      </c>
      <c r="I13" s="1456"/>
    </row>
    <row r="14" spans="1:9" s="1451" customFormat="1" ht="15" customHeight="1">
      <c r="A14" s="809"/>
      <c r="B14" s="1148" t="s">
        <v>241</v>
      </c>
      <c r="C14" s="811">
        <v>71</v>
      </c>
      <c r="D14" s="811"/>
      <c r="E14" s="811">
        <v>217921</v>
      </c>
      <c r="F14" s="811"/>
      <c r="G14" s="811">
        <f t="shared" si="0"/>
        <v>217921</v>
      </c>
      <c r="H14" s="1169">
        <f>G14/(C14*1000)</f>
        <v>3.07</v>
      </c>
      <c r="I14" s="1456"/>
    </row>
    <row r="15" spans="1:9" s="1451" customFormat="1" ht="15" customHeight="1">
      <c r="A15" s="809"/>
      <c r="B15" s="1148" t="s">
        <v>242</v>
      </c>
      <c r="C15" s="811"/>
      <c r="D15" s="811"/>
      <c r="E15" s="811"/>
      <c r="F15" s="811"/>
      <c r="G15" s="811">
        <f t="shared" si="0"/>
        <v>0</v>
      </c>
      <c r="H15" s="1169"/>
      <c r="I15" s="1456"/>
    </row>
    <row r="16" spans="1:9" s="1451" customFormat="1" ht="15" customHeight="1">
      <c r="A16" s="1160" t="s">
        <v>665</v>
      </c>
      <c r="B16" s="1161" t="s">
        <v>666</v>
      </c>
      <c r="C16" s="1162">
        <f>SUM(C17:C18)</f>
        <v>45089</v>
      </c>
      <c r="D16" s="1162">
        <f>SUM(D17:D18)</f>
        <v>0</v>
      </c>
      <c r="E16" s="1162">
        <f>SUM(E17:E18)</f>
        <v>47121450</v>
      </c>
      <c r="F16" s="1162">
        <f>SUM(F17:F18)</f>
        <v>0</v>
      </c>
      <c r="G16" s="793">
        <f>SUM(D16:F16)</f>
        <v>47121450</v>
      </c>
      <c r="H16" s="1163">
        <f>G16/(C16*1000)</f>
        <v>1.05</v>
      </c>
      <c r="I16" s="1456"/>
    </row>
    <row r="17" spans="1:9" s="1453" customFormat="1" ht="15" customHeight="1">
      <c r="A17" s="1171"/>
      <c r="B17" s="1172" t="s">
        <v>667</v>
      </c>
      <c r="C17" s="717">
        <v>44505</v>
      </c>
      <c r="D17" s="717"/>
      <c r="E17" s="717">
        <v>47121450</v>
      </c>
      <c r="F17" s="717"/>
      <c r="G17" s="797">
        <f t="shared" si="0"/>
        <v>47121450</v>
      </c>
      <c r="H17" s="1173">
        <f>G17/(C17*1000)</f>
        <v>1.06</v>
      </c>
      <c r="I17" s="1457"/>
    </row>
    <row r="18" spans="1:9" s="1405" customFormat="1" ht="15" customHeight="1" thickBot="1">
      <c r="A18" s="1171"/>
      <c r="B18" s="1172" t="s">
        <v>668</v>
      </c>
      <c r="C18" s="717">
        <v>584</v>
      </c>
      <c r="D18" s="717"/>
      <c r="E18" s="717"/>
      <c r="F18" s="717"/>
      <c r="G18" s="797">
        <f t="shared" si="0"/>
        <v>0</v>
      </c>
      <c r="H18" s="1173">
        <f>G18/(C18*1000)</f>
        <v>0</v>
      </c>
      <c r="I18" s="1458"/>
    </row>
    <row r="19" spans="1:9" s="1386" customFormat="1" ht="24.75" customHeight="1" thickBot="1">
      <c r="A19" s="1141"/>
      <c r="B19" s="1142" t="s">
        <v>78</v>
      </c>
      <c r="C19" s="1408">
        <f>C10+C11</f>
        <v>45705</v>
      </c>
      <c r="D19" s="1409">
        <f>D10+D11</f>
        <v>0</v>
      </c>
      <c r="E19" s="1408">
        <f>E10+E11</f>
        <v>47884371</v>
      </c>
      <c r="F19" s="1409">
        <f>F10+F11</f>
        <v>0</v>
      </c>
      <c r="G19" s="1408">
        <f t="shared" si="0"/>
        <v>47884371</v>
      </c>
      <c r="H19" s="1144">
        <f>G19/(C19*1000)</f>
        <v>1.05</v>
      </c>
      <c r="I19" s="1455"/>
    </row>
    <row r="20" spans="1:8" ht="16.5" thickBot="1">
      <c r="A20" s="1140"/>
      <c r="B20" s="1140"/>
      <c r="C20" s="1140"/>
      <c r="D20" s="1140"/>
      <c r="E20" s="1140"/>
      <c r="F20" s="1140"/>
      <c r="G20" s="1140"/>
      <c r="H20" s="1140"/>
    </row>
    <row r="21" spans="1:8" ht="13.5" customHeight="1">
      <c r="A21" s="805"/>
      <c r="B21" s="806" t="s">
        <v>549</v>
      </c>
      <c r="C21" s="807">
        <f>C3+C5+C6+C8</f>
        <v>545</v>
      </c>
      <c r="D21" s="807">
        <f>D3+D5+D6+D8</f>
        <v>0</v>
      </c>
      <c r="E21" s="807">
        <f>E3+E5+E6+E8</f>
        <v>545000</v>
      </c>
      <c r="F21" s="807">
        <f>F3+F5+F6+F8</f>
        <v>0</v>
      </c>
      <c r="G21" s="807">
        <f aca="true" t="shared" si="1" ref="G21:G27">SUM(D21:F21)</f>
        <v>545000</v>
      </c>
      <c r="H21" s="808">
        <f>G21/(C21*1000)</f>
        <v>1</v>
      </c>
    </row>
    <row r="22" spans="1:8" ht="15.75">
      <c r="A22" s="809"/>
      <c r="B22" s="810" t="s">
        <v>550</v>
      </c>
      <c r="C22" s="811">
        <f>C4+C7+C9</f>
        <v>0</v>
      </c>
      <c r="D22" s="811">
        <f>D4+D7+D9</f>
        <v>0</v>
      </c>
      <c r="E22" s="811">
        <f>E4+E7+E9</f>
        <v>0</v>
      </c>
      <c r="F22" s="811">
        <f>F4+F7+F9</f>
        <v>0</v>
      </c>
      <c r="G22" s="811">
        <f t="shared" si="1"/>
        <v>0</v>
      </c>
      <c r="H22" s="812"/>
    </row>
    <row r="23" spans="1:8" ht="15.75">
      <c r="A23" s="809"/>
      <c r="B23" s="810" t="s">
        <v>551</v>
      </c>
      <c r="C23" s="811">
        <f aca="true" t="shared" si="2" ref="C23:F24">+C14+C17</f>
        <v>44576</v>
      </c>
      <c r="D23" s="811">
        <f t="shared" si="2"/>
        <v>0</v>
      </c>
      <c r="E23" s="811">
        <f t="shared" si="2"/>
        <v>47339371</v>
      </c>
      <c r="F23" s="811">
        <f t="shared" si="2"/>
        <v>0</v>
      </c>
      <c r="G23" s="811">
        <f t="shared" si="1"/>
        <v>47339371</v>
      </c>
      <c r="H23" s="812">
        <f>G23/(C23*1000)</f>
        <v>1.06</v>
      </c>
    </row>
    <row r="24" spans="1:8" ht="16.5" thickBot="1">
      <c r="A24" s="813"/>
      <c r="B24" s="814" t="s">
        <v>552</v>
      </c>
      <c r="C24" s="815">
        <f t="shared" si="2"/>
        <v>584</v>
      </c>
      <c r="D24" s="815">
        <f t="shared" si="2"/>
        <v>0</v>
      </c>
      <c r="E24" s="815">
        <f t="shared" si="2"/>
        <v>0</v>
      </c>
      <c r="F24" s="815">
        <f t="shared" si="2"/>
        <v>0</v>
      </c>
      <c r="G24" s="1175">
        <f t="shared" si="1"/>
        <v>0</v>
      </c>
      <c r="H24" s="816">
        <f>G24/(C24*1000)</f>
        <v>0</v>
      </c>
    </row>
    <row r="25" spans="1:8" ht="15.75">
      <c r="A25" s="817"/>
      <c r="B25" s="818" t="s">
        <v>553</v>
      </c>
      <c r="C25" s="819">
        <f aca="true" t="shared" si="3" ref="C25:F26">C21+C23</f>
        <v>45121</v>
      </c>
      <c r="D25" s="819">
        <f t="shared" si="3"/>
        <v>0</v>
      </c>
      <c r="E25" s="819">
        <f t="shared" si="3"/>
        <v>47884371</v>
      </c>
      <c r="F25" s="818">
        <f t="shared" si="3"/>
        <v>0</v>
      </c>
      <c r="G25" s="819">
        <f t="shared" si="1"/>
        <v>47884371</v>
      </c>
      <c r="H25" s="820">
        <f>G25/(C25*1000)</f>
        <v>1.06</v>
      </c>
    </row>
    <row r="26" spans="1:8" ht="16.5" thickBot="1">
      <c r="A26" s="821"/>
      <c r="B26" s="822" t="s">
        <v>554</v>
      </c>
      <c r="C26" s="823">
        <f t="shared" si="3"/>
        <v>584</v>
      </c>
      <c r="D26" s="823">
        <f t="shared" si="3"/>
        <v>0</v>
      </c>
      <c r="E26" s="823">
        <f t="shared" si="3"/>
        <v>0</v>
      </c>
      <c r="F26" s="822">
        <f t="shared" si="3"/>
        <v>0</v>
      </c>
      <c r="G26" s="823">
        <f t="shared" si="1"/>
        <v>0</v>
      </c>
      <c r="H26" s="824">
        <f>G26/(C26*1000)</f>
        <v>0</v>
      </c>
    </row>
    <row r="27" spans="1:8" ht="16.5" thickBot="1">
      <c r="A27" s="825"/>
      <c r="B27" s="826" t="s">
        <v>555</v>
      </c>
      <c r="C27" s="827">
        <f>C25+C26</f>
        <v>45705</v>
      </c>
      <c r="D27" s="827">
        <f>D25+D26</f>
        <v>0</v>
      </c>
      <c r="E27" s="827">
        <f>E25+E26</f>
        <v>47884371</v>
      </c>
      <c r="F27" s="826">
        <f>F25+F26</f>
        <v>0</v>
      </c>
      <c r="G27" s="827">
        <f t="shared" si="1"/>
        <v>47884371</v>
      </c>
      <c r="H27" s="828">
        <f>G27/(C27*1000)</f>
        <v>1.05</v>
      </c>
    </row>
    <row r="28" ht="16.5" thickBot="1"/>
    <row r="29" spans="1:9" ht="13.5" customHeight="1">
      <c r="A29" s="1904" t="s">
        <v>523</v>
      </c>
      <c r="B29" s="1906" t="s">
        <v>1191</v>
      </c>
      <c r="C29" s="1854" t="s">
        <v>1065</v>
      </c>
      <c r="D29" s="1851" t="s">
        <v>1050</v>
      </c>
      <c r="E29" s="1852"/>
      <c r="F29" s="1852"/>
      <c r="G29" s="1853"/>
      <c r="H29" s="1848" t="s">
        <v>1051</v>
      </c>
      <c r="I29" s="1454"/>
    </row>
    <row r="30" spans="1:9" ht="48" thickBot="1">
      <c r="A30" s="1905"/>
      <c r="B30" s="1907"/>
      <c r="C30" s="1855"/>
      <c r="D30" s="1136" t="s">
        <v>287</v>
      </c>
      <c r="E30" s="1136" t="s">
        <v>795</v>
      </c>
      <c r="F30" s="1136" t="s">
        <v>796</v>
      </c>
      <c r="G30" s="1136" t="s">
        <v>65</v>
      </c>
      <c r="H30" s="1849"/>
      <c r="I30" s="1454"/>
    </row>
    <row r="31" spans="1:9" s="1386" customFormat="1" ht="24.75" customHeight="1">
      <c r="A31" s="1381" t="s">
        <v>104</v>
      </c>
      <c r="B31" s="1382" t="s">
        <v>105</v>
      </c>
      <c r="C31" s="1383">
        <v>24626</v>
      </c>
      <c r="D31" s="1383"/>
      <c r="E31" s="1383">
        <v>27836356</v>
      </c>
      <c r="F31" s="1383"/>
      <c r="G31" s="1383">
        <f aca="true" t="shared" si="4" ref="G31:G41">SUM(D31:F31)</f>
        <v>27836356</v>
      </c>
      <c r="H31" s="1384">
        <f>G31/(C31*1000)</f>
        <v>1.13</v>
      </c>
      <c r="I31" s="1455"/>
    </row>
    <row r="32" spans="1:9" s="1386" customFormat="1" ht="31.5">
      <c r="A32" s="1387" t="s">
        <v>106</v>
      </c>
      <c r="B32" s="1410" t="s">
        <v>107</v>
      </c>
      <c r="C32" s="1392">
        <v>6711</v>
      </c>
      <c r="D32" s="1392"/>
      <c r="E32" s="1392">
        <v>6363632</v>
      </c>
      <c r="F32" s="1392"/>
      <c r="G32" s="1392">
        <f t="shared" si="4"/>
        <v>6363632</v>
      </c>
      <c r="H32" s="1393">
        <f>G32/(C32*1000)</f>
        <v>0.95</v>
      </c>
      <c r="I32" s="1455"/>
    </row>
    <row r="33" spans="1:9" s="1386" customFormat="1" ht="24.75" customHeight="1">
      <c r="A33" s="1387" t="s">
        <v>108</v>
      </c>
      <c r="B33" s="1391" t="s">
        <v>109</v>
      </c>
      <c r="C33" s="1392">
        <v>13784</v>
      </c>
      <c r="D33" s="1392"/>
      <c r="E33" s="1392">
        <v>13684383</v>
      </c>
      <c r="F33" s="1392"/>
      <c r="G33" s="1392">
        <f t="shared" si="4"/>
        <v>13684383</v>
      </c>
      <c r="H33" s="1393">
        <f>G33/(C33*1000)</f>
        <v>0.99</v>
      </c>
      <c r="I33" s="1455"/>
    </row>
    <row r="34" spans="1:9" s="1386" customFormat="1" ht="24.75" customHeight="1">
      <c r="A34" s="1387" t="s">
        <v>110</v>
      </c>
      <c r="B34" s="1391" t="s">
        <v>111</v>
      </c>
      <c r="C34" s="1392"/>
      <c r="D34" s="1392"/>
      <c r="E34" s="1392"/>
      <c r="F34" s="1392"/>
      <c r="G34" s="1392">
        <f t="shared" si="4"/>
        <v>0</v>
      </c>
      <c r="H34" s="1393"/>
      <c r="I34" s="1455"/>
    </row>
    <row r="35" spans="1:9" s="1386" customFormat="1" ht="24.75" customHeight="1">
      <c r="A35" s="1387" t="s">
        <v>112</v>
      </c>
      <c r="B35" s="1391" t="s">
        <v>113</v>
      </c>
      <c r="C35" s="1392"/>
      <c r="D35" s="1392"/>
      <c r="E35" s="1392"/>
      <c r="F35" s="1392"/>
      <c r="G35" s="1392">
        <f t="shared" si="4"/>
        <v>0</v>
      </c>
      <c r="H35" s="1393"/>
      <c r="I35" s="1455"/>
    </row>
    <row r="36" spans="1:9" s="1386" customFormat="1" ht="24.75" customHeight="1">
      <c r="A36" s="1387" t="s">
        <v>548</v>
      </c>
      <c r="B36" s="1391" t="s">
        <v>121</v>
      </c>
      <c r="C36" s="1392">
        <v>584</v>
      </c>
      <c r="D36" s="1392"/>
      <c r="E36" s="1392"/>
      <c r="F36" s="1392"/>
      <c r="G36" s="1392">
        <f t="shared" si="4"/>
        <v>0</v>
      </c>
      <c r="H36" s="1393">
        <f>G36/(C36*1000)</f>
        <v>0</v>
      </c>
      <c r="I36" s="1455"/>
    </row>
    <row r="37" spans="1:9" s="1386" customFormat="1" ht="24.75" customHeight="1">
      <c r="A37" s="1387" t="s">
        <v>122</v>
      </c>
      <c r="B37" s="1391" t="s">
        <v>123</v>
      </c>
      <c r="C37" s="1392"/>
      <c r="D37" s="1392"/>
      <c r="E37" s="1392"/>
      <c r="F37" s="1392"/>
      <c r="G37" s="1392">
        <f t="shared" si="4"/>
        <v>0</v>
      </c>
      <c r="H37" s="1393"/>
      <c r="I37" s="1455"/>
    </row>
    <row r="38" spans="1:9" s="1386" customFormat="1" ht="24.75" customHeight="1" thickBot="1">
      <c r="A38" s="1394" t="s">
        <v>124</v>
      </c>
      <c r="B38" s="1395" t="s">
        <v>125</v>
      </c>
      <c r="C38" s="1396"/>
      <c r="D38" s="1396"/>
      <c r="E38" s="1396"/>
      <c r="F38" s="1396"/>
      <c r="G38" s="1396">
        <f t="shared" si="4"/>
        <v>0</v>
      </c>
      <c r="H38" s="1411"/>
      <c r="I38" s="1455"/>
    </row>
    <row r="39" spans="1:9" ht="16.5" thickBot="1">
      <c r="A39" s="782" t="s">
        <v>138</v>
      </c>
      <c r="B39" s="783" t="s">
        <v>139</v>
      </c>
      <c r="C39" s="784">
        <f>C31+C32+C33+C34+C35+C36+C37+C38</f>
        <v>45705</v>
      </c>
      <c r="D39" s="784">
        <f>D31+D32+D33+D34+D35+D36+D37+D38</f>
        <v>0</v>
      </c>
      <c r="E39" s="784">
        <f>E31+E32+E33+E34+E35+E36+E37+E38</f>
        <v>47884371</v>
      </c>
      <c r="F39" s="784">
        <f>F31+F32+F33+F34+F35+F36+F37+F38</f>
        <v>0</v>
      </c>
      <c r="G39" s="1139">
        <f t="shared" si="4"/>
        <v>47884371</v>
      </c>
      <c r="H39" s="786">
        <f>G39/(C39*1000)</f>
        <v>1.05</v>
      </c>
      <c r="I39" s="1454"/>
    </row>
    <row r="40" spans="1:9" s="1386" customFormat="1" ht="24.75" customHeight="1" thickBot="1">
      <c r="A40" s="1437" t="s">
        <v>129</v>
      </c>
      <c r="B40" s="1438" t="s">
        <v>130</v>
      </c>
      <c r="C40" s="1439"/>
      <c r="D40" s="1439"/>
      <c r="E40" s="1439"/>
      <c r="F40" s="1439"/>
      <c r="G40" s="1439">
        <f t="shared" si="4"/>
        <v>0</v>
      </c>
      <c r="H40" s="1440"/>
      <c r="I40" s="1455"/>
    </row>
    <row r="41" spans="1:9" s="1449" customFormat="1" ht="24.75" customHeight="1" thickBot="1">
      <c r="A41" s="1141"/>
      <c r="B41" s="1142" t="s">
        <v>77</v>
      </c>
      <c r="C41" s="1408">
        <f>C40+C39</f>
        <v>45705</v>
      </c>
      <c r="D41" s="1409">
        <f>D40+D39</f>
        <v>0</v>
      </c>
      <c r="E41" s="1408">
        <f>E40+E39</f>
        <v>47884371</v>
      </c>
      <c r="F41" s="1409">
        <f>F40+F39</f>
        <v>0</v>
      </c>
      <c r="G41" s="1408">
        <f t="shared" si="4"/>
        <v>47884371</v>
      </c>
      <c r="H41" s="1144">
        <f>G41/(C41*1000)</f>
        <v>1.05</v>
      </c>
      <c r="I41" s="1459"/>
    </row>
    <row r="42" spans="1:8" ht="16.5" thickBot="1">
      <c r="A42" s="800"/>
      <c r="B42" s="801"/>
      <c r="C42" s="802"/>
      <c r="D42" s="802"/>
      <c r="E42" s="802"/>
      <c r="F42" s="803"/>
      <c r="G42" s="803"/>
      <c r="H42" s="804"/>
    </row>
    <row r="43" spans="1:8" ht="15.75">
      <c r="A43" s="805"/>
      <c r="B43" s="806" t="s">
        <v>158</v>
      </c>
      <c r="C43" s="807">
        <f>C31+C32+C33+C34+C35</f>
        <v>45121</v>
      </c>
      <c r="D43" s="807">
        <f>D31+D32+D33+D34+D35</f>
        <v>0</v>
      </c>
      <c r="E43" s="807">
        <f>E31+E32+E33+E34+E35</f>
        <v>47884371</v>
      </c>
      <c r="F43" s="807">
        <f>F31+F32+F33+F34+F35</f>
        <v>0</v>
      </c>
      <c r="G43" s="807">
        <f>SUM(D43:F43)</f>
        <v>47884371</v>
      </c>
      <c r="H43" s="808">
        <f>G43/(C43*1000)</f>
        <v>1.06</v>
      </c>
    </row>
    <row r="44" spans="1:8" ht="15.75">
      <c r="A44" s="809"/>
      <c r="B44" s="810" t="s">
        <v>159</v>
      </c>
      <c r="C44" s="811">
        <f>C36+C37+C38</f>
        <v>584</v>
      </c>
      <c r="D44" s="811">
        <f>D36+D37+D38</f>
        <v>0</v>
      </c>
      <c r="E44" s="811">
        <f>E36+E37+E38</f>
        <v>0</v>
      </c>
      <c r="F44" s="811">
        <f>F36+F37+F38</f>
        <v>0</v>
      </c>
      <c r="G44" s="811">
        <f>SUM(D44:F44)</f>
        <v>0</v>
      </c>
      <c r="H44" s="812">
        <f>G44/(C44*1000)</f>
        <v>0</v>
      </c>
    </row>
    <row r="45" spans="1:8" ht="15.75">
      <c r="A45" s="809"/>
      <c r="B45" s="810" t="s">
        <v>160</v>
      </c>
      <c r="C45" s="811">
        <f>C40</f>
        <v>0</v>
      </c>
      <c r="D45" s="811">
        <f>D40</f>
        <v>0</v>
      </c>
      <c r="E45" s="811">
        <f>E40</f>
        <v>0</v>
      </c>
      <c r="F45" s="811">
        <f>F40</f>
        <v>0</v>
      </c>
      <c r="G45" s="811">
        <f>SUM(D45:F45)</f>
        <v>0</v>
      </c>
      <c r="H45" s="812"/>
    </row>
    <row r="46" spans="1:8" ht="16.5" thickBot="1">
      <c r="A46" s="813"/>
      <c r="B46" s="814" t="s">
        <v>161</v>
      </c>
      <c r="C46" s="815">
        <f>C40</f>
        <v>0</v>
      </c>
      <c r="D46" s="815">
        <f>D40</f>
        <v>0</v>
      </c>
      <c r="E46" s="815">
        <f>E40</f>
        <v>0</v>
      </c>
      <c r="F46" s="815">
        <f>F40</f>
        <v>0</v>
      </c>
      <c r="G46" s="815">
        <f>G40</f>
        <v>0</v>
      </c>
      <c r="H46" s="816"/>
    </row>
    <row r="47" spans="1:8" ht="15.75">
      <c r="A47" s="817"/>
      <c r="B47" s="818" t="s">
        <v>162</v>
      </c>
      <c r="C47" s="819">
        <f aca="true" t="shared" si="5" ref="C47:F48">C43+C45</f>
        <v>45121</v>
      </c>
      <c r="D47" s="819">
        <f t="shared" si="5"/>
        <v>0</v>
      </c>
      <c r="E47" s="819">
        <f t="shared" si="5"/>
        <v>47884371</v>
      </c>
      <c r="F47" s="818">
        <f t="shared" si="5"/>
        <v>0</v>
      </c>
      <c r="G47" s="819">
        <f>SUM(D47:F47)</f>
        <v>47884371</v>
      </c>
      <c r="H47" s="820">
        <f>G47/(C47*1000)</f>
        <v>1.06</v>
      </c>
    </row>
    <row r="48" spans="1:8" ht="16.5" thickBot="1">
      <c r="A48" s="821"/>
      <c r="B48" s="822" t="s">
        <v>163</v>
      </c>
      <c r="C48" s="823">
        <f t="shared" si="5"/>
        <v>584</v>
      </c>
      <c r="D48" s="823">
        <f t="shared" si="5"/>
        <v>0</v>
      </c>
      <c r="E48" s="823">
        <f t="shared" si="5"/>
        <v>0</v>
      </c>
      <c r="F48" s="822">
        <f t="shared" si="5"/>
        <v>0</v>
      </c>
      <c r="G48" s="823">
        <f>SUM(D48:F48)</f>
        <v>0</v>
      </c>
      <c r="H48" s="824">
        <f>G48/(C48*1000)</f>
        <v>0</v>
      </c>
    </row>
    <row r="49" spans="1:8" ht="16.5" thickBot="1">
      <c r="A49" s="825"/>
      <c r="B49" s="826" t="s">
        <v>164</v>
      </c>
      <c r="C49" s="827">
        <f>C47+C48</f>
        <v>45705</v>
      </c>
      <c r="D49" s="827">
        <f>D47+D48</f>
        <v>0</v>
      </c>
      <c r="E49" s="827">
        <f>E47+E48</f>
        <v>47884371</v>
      </c>
      <c r="F49" s="826">
        <f>F47+F48</f>
        <v>0</v>
      </c>
      <c r="G49" s="827">
        <f>SUM(D49:F49)</f>
        <v>47884371</v>
      </c>
      <c r="H49" s="828">
        <f>G49/(C49*1000)</f>
        <v>1.05</v>
      </c>
    </row>
  </sheetData>
  <sheetProtection/>
  <mergeCells count="10">
    <mergeCell ref="H1:H2"/>
    <mergeCell ref="A29:A30"/>
    <mergeCell ref="B29:B30"/>
    <mergeCell ref="C29:C30"/>
    <mergeCell ref="D29:G29"/>
    <mergeCell ref="H29:H30"/>
    <mergeCell ref="A1:A2"/>
    <mergeCell ref="D1:G1"/>
    <mergeCell ref="C1:C2"/>
    <mergeCell ref="B1:B2"/>
  </mergeCells>
  <printOptions horizontalCentered="1"/>
  <pageMargins left="0.3937007874015748" right="0.3937007874015748" top="0.7874015748031497" bottom="0.7874015748031497" header="0.3937007874015748" footer="0.3937007874015748"/>
  <pageSetup fitToHeight="2" orientation="landscape" paperSize="9" scale="93" r:id="rId1"/>
  <headerFooter alignWithMargins="0">
    <oddHeader>&amp;C&amp;"Times New Roman,Félkövér"PESTERZSÉBETI MÚZEUM
 2017. ÉVI BEVÉTELEI ÉS KIADÁSAI
&amp;R&amp;"Times New Roman,Félkövér"4.7. sz. melléklet&amp;"MS Sans Serif,Normál"
</oddHeader>
  </headerFooter>
  <rowBreaks count="1" manualBreakCount="1">
    <brk id="28" max="7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 codeName="Munka67">
    <pageSetUpPr fitToPage="1"/>
  </sheetPr>
  <dimension ref="A1:H14"/>
  <sheetViews>
    <sheetView zoomScale="80" zoomScaleNormal="80" zoomScalePageLayoutView="0" workbookViewId="0" topLeftCell="A1">
      <pane ySplit="1" topLeftCell="A2" activePane="bottomLeft" state="frozen"/>
      <selection pane="topLeft" activeCell="D16" sqref="D16"/>
      <selection pane="bottomLeft" activeCell="M17" sqref="M17"/>
    </sheetView>
  </sheetViews>
  <sheetFormatPr defaultColWidth="9.140625" defaultRowHeight="12.75"/>
  <cols>
    <col min="1" max="1" width="9.140625" style="694" customWidth="1"/>
    <col min="2" max="2" width="59.140625" style="694" customWidth="1"/>
    <col min="3" max="8" width="18.28125" style="694" customWidth="1"/>
    <col min="9" max="16384" width="9.140625" style="694" customWidth="1"/>
  </cols>
  <sheetData>
    <row r="1" spans="1:8" ht="13.5" customHeight="1">
      <c r="A1" s="1928" t="s">
        <v>523</v>
      </c>
      <c r="B1" s="1906" t="s">
        <v>501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8" ht="48" thickBot="1">
      <c r="A2" s="1929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8" ht="15.75">
      <c r="A3" s="707" t="s">
        <v>213</v>
      </c>
      <c r="B3" s="708" t="s">
        <v>214</v>
      </c>
      <c r="C3" s="709"/>
      <c r="D3" s="709"/>
      <c r="E3" s="708"/>
      <c r="F3" s="708"/>
      <c r="G3" s="709">
        <f>SUM(D3:F3)</f>
        <v>0</v>
      </c>
      <c r="H3" s="721"/>
    </row>
    <row r="4" spans="1:8" ht="15" customHeight="1">
      <c r="A4" s="714" t="s">
        <v>215</v>
      </c>
      <c r="B4" s="691" t="s">
        <v>216</v>
      </c>
      <c r="C4" s="695"/>
      <c r="D4" s="695"/>
      <c r="E4" s="695"/>
      <c r="F4" s="695"/>
      <c r="G4" s="695">
        <f>SUM(D4:F4)</f>
        <v>0</v>
      </c>
      <c r="H4" s="1427"/>
    </row>
    <row r="5" spans="1:8" ht="15" customHeight="1">
      <c r="A5" s="714" t="s">
        <v>534</v>
      </c>
      <c r="B5" s="691" t="s">
        <v>535</v>
      </c>
      <c r="C5" s="700">
        <f>SUM(C6:C6)</f>
        <v>200</v>
      </c>
      <c r="D5" s="695">
        <f>SUM(D6:D6)</f>
        <v>0</v>
      </c>
      <c r="E5" s="695">
        <f>SUM(E6:E6)</f>
        <v>0</v>
      </c>
      <c r="F5" s="1428">
        <f>SUM(F6:F6)</f>
        <v>0</v>
      </c>
      <c r="G5" s="700">
        <f aca="true" t="shared" si="0" ref="G5:G14">SUM(D5:F5)</f>
        <v>0</v>
      </c>
      <c r="H5" s="701"/>
    </row>
    <row r="6" spans="1:8" ht="15" customHeight="1">
      <c r="A6" s="715"/>
      <c r="B6" s="690" t="s">
        <v>556</v>
      </c>
      <c r="C6" s="696">
        <v>200</v>
      </c>
      <c r="D6" s="696"/>
      <c r="E6" s="696"/>
      <c r="F6" s="697"/>
      <c r="G6" s="696">
        <f t="shared" si="0"/>
        <v>0</v>
      </c>
      <c r="H6" s="698"/>
    </row>
    <row r="7" spans="1:8" ht="15" customHeight="1">
      <c r="A7" s="714" t="s">
        <v>536</v>
      </c>
      <c r="B7" s="691" t="s">
        <v>537</v>
      </c>
      <c r="C7" s="695">
        <f>C8+C10</f>
        <v>260</v>
      </c>
      <c r="D7" s="695">
        <f>D8+D10</f>
        <v>0</v>
      </c>
      <c r="E7" s="695">
        <f>E8+E10</f>
        <v>0</v>
      </c>
      <c r="F7" s="695">
        <f>F8+F10</f>
        <v>0</v>
      </c>
      <c r="G7" s="702">
        <f t="shared" si="0"/>
        <v>0</v>
      </c>
      <c r="H7" s="701">
        <f>+G7/C7</f>
        <v>0</v>
      </c>
    </row>
    <row r="8" spans="1:8" ht="15" customHeight="1">
      <c r="A8" s="715"/>
      <c r="B8" s="1429" t="s">
        <v>538</v>
      </c>
      <c r="C8" s="1430">
        <f>SUM(C9:C9)</f>
        <v>260</v>
      </c>
      <c r="D8" s="1430">
        <f>SUM(D9:D9)</f>
        <v>0</v>
      </c>
      <c r="E8" s="1430">
        <f>SUM(E9:E9)</f>
        <v>0</v>
      </c>
      <c r="F8" s="1430">
        <f>SUM(F9:F9)</f>
        <v>0</v>
      </c>
      <c r="G8" s="1431">
        <f t="shared" si="0"/>
        <v>0</v>
      </c>
      <c r="H8" s="1432">
        <f>+G8/C8</f>
        <v>0</v>
      </c>
    </row>
    <row r="9" spans="1:8" ht="15" customHeight="1">
      <c r="A9" s="715"/>
      <c r="B9" s="716" t="s">
        <v>557</v>
      </c>
      <c r="C9" s="696">
        <v>260</v>
      </c>
      <c r="D9" s="696"/>
      <c r="E9" s="696"/>
      <c r="F9" s="696"/>
      <c r="G9" s="703">
        <f t="shared" si="0"/>
        <v>0</v>
      </c>
      <c r="H9" s="698">
        <f>+G9/C9</f>
        <v>0</v>
      </c>
    </row>
    <row r="10" spans="1:8" ht="15.75">
      <c r="A10" s="715"/>
      <c r="B10" s="1429" t="s">
        <v>540</v>
      </c>
      <c r="C10" s="696"/>
      <c r="D10" s="696"/>
      <c r="E10" s="696"/>
      <c r="F10" s="696"/>
      <c r="G10" s="717">
        <f t="shared" si="0"/>
        <v>0</v>
      </c>
      <c r="H10" s="699"/>
    </row>
    <row r="11" spans="1:8" ht="15.75">
      <c r="A11" s="714" t="s">
        <v>541</v>
      </c>
      <c r="B11" s="691" t="s">
        <v>542</v>
      </c>
      <c r="C11" s="700"/>
      <c r="D11" s="700"/>
      <c r="E11" s="700"/>
      <c r="F11" s="700"/>
      <c r="G11" s="700">
        <f t="shared" si="0"/>
        <v>0</v>
      </c>
      <c r="H11" s="1434"/>
    </row>
    <row r="12" spans="1:8" ht="15.75">
      <c r="A12" s="714" t="s">
        <v>543</v>
      </c>
      <c r="B12" s="691" t="s">
        <v>546</v>
      </c>
      <c r="C12" s="700"/>
      <c r="D12" s="700"/>
      <c r="E12" s="700"/>
      <c r="F12" s="700"/>
      <c r="G12" s="700">
        <f t="shared" si="0"/>
        <v>0</v>
      </c>
      <c r="H12" s="1434"/>
    </row>
    <row r="13" spans="1:8" ht="16.5" thickBot="1">
      <c r="A13" s="718" t="s">
        <v>544</v>
      </c>
      <c r="B13" s="692" t="s">
        <v>545</v>
      </c>
      <c r="C13" s="704">
        <f>(C3+C4+C5+C7)*27%</f>
        <v>124</v>
      </c>
      <c r="D13" s="704">
        <f>((D3+D4+D5+D7)*27%)</f>
        <v>0</v>
      </c>
      <c r="E13" s="704">
        <f>(E3+E4+E5+E7)*27%</f>
        <v>0</v>
      </c>
      <c r="F13" s="704">
        <f>(F3+F4+F5+F7)*27%</f>
        <v>0</v>
      </c>
      <c r="G13" s="704">
        <f t="shared" si="0"/>
        <v>0</v>
      </c>
      <c r="H13" s="705">
        <f>+G13/C13</f>
        <v>0</v>
      </c>
    </row>
    <row r="14" spans="1:8" s="1343" customFormat="1" ht="35.25" customHeight="1" thickBot="1">
      <c r="A14" s="719"/>
      <c r="B14" s="693" t="s">
        <v>547</v>
      </c>
      <c r="C14" s="693">
        <f>C3+C4+C5+C7+C11+C12+C13</f>
        <v>584</v>
      </c>
      <c r="D14" s="693">
        <f>D3+D4+D5+D7+D11+D12+D13</f>
        <v>0</v>
      </c>
      <c r="E14" s="693">
        <f>E3+E4+E5+E7+E11+E12+E13</f>
        <v>0</v>
      </c>
      <c r="F14" s="693">
        <f>F3+F4+F5+F7+F11+F12+F13</f>
        <v>0</v>
      </c>
      <c r="G14" s="693">
        <f t="shared" si="0"/>
        <v>0</v>
      </c>
      <c r="H14" s="706">
        <f>+G14/C14</f>
        <v>0</v>
      </c>
    </row>
  </sheetData>
  <sheetProtection/>
  <mergeCells count="5">
    <mergeCell ref="A1:A2"/>
    <mergeCell ref="H1:H2"/>
    <mergeCell ref="C1:C2"/>
    <mergeCell ref="B1:B2"/>
    <mergeCell ref="D1:G1"/>
  </mergeCells>
  <printOptions horizontalCentered="1"/>
  <pageMargins left="0.5905511811023623" right="0.5905511811023623" top="0.984251968503937" bottom="1.1811023622047245" header="0.3937007874015748" footer="0.3937007874015748"/>
  <pageSetup fitToHeight="1" fitToWidth="1" orientation="landscape" paperSize="9" scale="76" r:id="rId1"/>
  <headerFooter alignWithMargins="0">
    <oddHeader>&amp;C&amp;"Times New Roman,Normál"PESTERZSÉBETI MÚZEUM 
2017. ÉVI BERUHÁZÁSI KIADÁSAI 
&amp;R&amp;"Times New Roman,Normál"4.8. sz. melléklet&amp;"MS Sans Serif,Normál"
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Munka68">
    <pageSetUpPr fitToPage="1"/>
  </sheetPr>
  <dimension ref="A1:I49"/>
  <sheetViews>
    <sheetView zoomScale="89" zoomScaleNormal="89" zoomScalePageLayoutView="0" workbookViewId="0" topLeftCell="A1">
      <pane xSplit="2" ySplit="2" topLeftCell="C27" activePane="bottomRight" state="frozen"/>
      <selection pane="topLeft" activeCell="H18" sqref="H18:H20"/>
      <selection pane="topRight" activeCell="H18" sqref="H18:H20"/>
      <selection pane="bottomLeft" activeCell="H18" sqref="H18:H20"/>
      <selection pane="bottomRight" activeCell="O29" sqref="O29"/>
    </sheetView>
  </sheetViews>
  <sheetFormatPr defaultColWidth="9.140625" defaultRowHeight="12.75"/>
  <cols>
    <col min="1" max="1" width="9.140625" style="1147" customWidth="1"/>
    <col min="2" max="2" width="52.28125" style="1147" customWidth="1"/>
    <col min="3" max="3" width="14.28125" style="1146" customWidth="1"/>
    <col min="4" max="4" width="15.8515625" style="1146" bestFit="1" customWidth="1"/>
    <col min="5" max="5" width="16.421875" style="1146" customWidth="1"/>
    <col min="6" max="6" width="18.140625" style="1146" bestFit="1" customWidth="1"/>
    <col min="7" max="7" width="15.8515625" style="1146" bestFit="1" customWidth="1"/>
    <col min="8" max="8" width="14.28125" style="1147" customWidth="1"/>
    <col min="9" max="9" width="14.140625" style="1146" customWidth="1"/>
    <col min="10" max="10" width="12.421875" style="1147" customWidth="1"/>
    <col min="11" max="11" width="10.00390625" style="1147" customWidth="1"/>
    <col min="12" max="16384" width="9.140625" style="1147" customWidth="1"/>
  </cols>
  <sheetData>
    <row r="1" spans="1:8" ht="13.5" customHeight="1">
      <c r="A1" s="1844" t="s">
        <v>523</v>
      </c>
      <c r="B1" s="1906" t="s">
        <v>1192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8" ht="48" thickBot="1">
      <c r="A2" s="1930"/>
      <c r="B2" s="1931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9" s="1386" customFormat="1" ht="31.5">
      <c r="A3" s="1445" t="s">
        <v>185</v>
      </c>
      <c r="B3" s="1410" t="s">
        <v>186</v>
      </c>
      <c r="C3" s="1447"/>
      <c r="D3" s="1447"/>
      <c r="E3" s="1447"/>
      <c r="F3" s="1447"/>
      <c r="G3" s="1447">
        <f>SUM(D3:F3)</f>
        <v>0</v>
      </c>
      <c r="H3" s="1448"/>
      <c r="I3" s="1385"/>
    </row>
    <row r="4" spans="1:9" s="1386" customFormat="1" ht="31.5">
      <c r="A4" s="1387" t="s">
        <v>187</v>
      </c>
      <c r="B4" s="1410" t="s">
        <v>145</v>
      </c>
      <c r="C4" s="1392"/>
      <c r="D4" s="1392"/>
      <c r="E4" s="1392"/>
      <c r="F4" s="1392"/>
      <c r="G4" s="1392">
        <f>SUM(D4:F4)</f>
        <v>0</v>
      </c>
      <c r="H4" s="1393"/>
      <c r="I4" s="1385"/>
    </row>
    <row r="5" spans="1:9" s="1386" customFormat="1" ht="19.5" customHeight="1">
      <c r="A5" s="1387" t="s">
        <v>193</v>
      </c>
      <c r="B5" s="1391" t="s">
        <v>148</v>
      </c>
      <c r="C5" s="1392"/>
      <c r="D5" s="1392"/>
      <c r="E5" s="1392"/>
      <c r="F5" s="1392"/>
      <c r="G5" s="1392">
        <f>SUM(D5:F5)</f>
        <v>0</v>
      </c>
      <c r="H5" s="1393"/>
      <c r="I5" s="1385"/>
    </row>
    <row r="6" spans="1:9" s="1386" customFormat="1" ht="19.5" customHeight="1">
      <c r="A6" s="1387" t="s">
        <v>469</v>
      </c>
      <c r="B6" s="1391" t="s">
        <v>664</v>
      </c>
      <c r="C6" s="1392">
        <v>8297</v>
      </c>
      <c r="D6" s="1392">
        <v>7594898</v>
      </c>
      <c r="E6" s="1392">
        <v>414000</v>
      </c>
      <c r="F6" s="1392"/>
      <c r="G6" s="1392">
        <f>SUM(D6:F6)</f>
        <v>8008898</v>
      </c>
      <c r="H6" s="1393">
        <f>G6/(C6*1000)</f>
        <v>0.97</v>
      </c>
      <c r="I6" s="1385"/>
    </row>
    <row r="7" spans="1:9" s="1386" customFormat="1" ht="19.5" customHeight="1">
      <c r="A7" s="1387" t="s">
        <v>486</v>
      </c>
      <c r="B7" s="1391" t="s">
        <v>663</v>
      </c>
      <c r="C7" s="1392"/>
      <c r="D7" s="1392"/>
      <c r="E7" s="1392"/>
      <c r="F7" s="1392"/>
      <c r="G7" s="1392"/>
      <c r="H7" s="1393"/>
      <c r="I7" s="1385"/>
    </row>
    <row r="8" spans="1:9" s="1386" customFormat="1" ht="19.5" customHeight="1">
      <c r="A8" s="1387" t="s">
        <v>471</v>
      </c>
      <c r="B8" s="1391" t="s">
        <v>475</v>
      </c>
      <c r="C8" s="1392"/>
      <c r="D8" s="1392"/>
      <c r="E8" s="1392"/>
      <c r="F8" s="1392"/>
      <c r="G8" s="1392"/>
      <c r="H8" s="1393"/>
      <c r="I8" s="1385"/>
    </row>
    <row r="9" spans="1:9" s="1386" customFormat="1" ht="19.5" customHeight="1">
      <c r="A9" s="1460" t="s">
        <v>473</v>
      </c>
      <c r="B9" s="1461" t="s">
        <v>474</v>
      </c>
      <c r="C9" s="1462"/>
      <c r="D9" s="1462"/>
      <c r="E9" s="1462"/>
      <c r="F9" s="1462"/>
      <c r="G9" s="1462"/>
      <c r="H9" s="1463"/>
      <c r="I9" s="1385"/>
    </row>
    <row r="10" spans="1:9" s="1451" customFormat="1" ht="15" customHeight="1" thickBot="1">
      <c r="A10" s="1464" t="s">
        <v>476</v>
      </c>
      <c r="B10" s="1465" t="s">
        <v>286</v>
      </c>
      <c r="C10" s="1466">
        <f>C3+C4+C5+C6+C7+C8+C9</f>
        <v>8297</v>
      </c>
      <c r="D10" s="1466">
        <f>D3+D4+D5+D6+D7+D8+D9</f>
        <v>7594898</v>
      </c>
      <c r="E10" s="1466">
        <f>E3+E4+E5+E6+E7+E8+E9</f>
        <v>414000</v>
      </c>
      <c r="F10" s="1466">
        <f>F3+F4+F5+F6+F7+F8+F9</f>
        <v>0</v>
      </c>
      <c r="G10" s="1467">
        <f>SUM(D10:F10)</f>
        <v>8008898</v>
      </c>
      <c r="H10" s="1468">
        <f>G10/(C10*1000)</f>
        <v>0.97</v>
      </c>
      <c r="I10" s="1450"/>
    </row>
    <row r="11" spans="1:9" s="1451" customFormat="1" ht="15" customHeight="1">
      <c r="A11" s="1381" t="s">
        <v>477</v>
      </c>
      <c r="B11" s="1382" t="s">
        <v>478</v>
      </c>
      <c r="C11" s="1383">
        <f>+C12</f>
        <v>166192</v>
      </c>
      <c r="D11" s="1383">
        <f>+D12</f>
        <v>171332204</v>
      </c>
      <c r="E11" s="1383">
        <f>+E12</f>
        <v>2395770</v>
      </c>
      <c r="F11" s="1383">
        <f>+F12</f>
        <v>0</v>
      </c>
      <c r="G11" s="1383">
        <f>+G12</f>
        <v>173727974</v>
      </c>
      <c r="H11" s="1384">
        <f>G11/(C11*1000)</f>
        <v>1.05</v>
      </c>
      <c r="I11" s="1450"/>
    </row>
    <row r="12" spans="1:9" s="1451" customFormat="1" ht="15" customHeight="1">
      <c r="A12" s="1400" t="s">
        <v>483</v>
      </c>
      <c r="B12" s="1401" t="s">
        <v>484</v>
      </c>
      <c r="C12" s="1402">
        <f>+C13+C16</f>
        <v>166192</v>
      </c>
      <c r="D12" s="1402">
        <f>+D13+D16</f>
        <v>171332204</v>
      </c>
      <c r="E12" s="1402">
        <f>+E13+E16</f>
        <v>2395770</v>
      </c>
      <c r="F12" s="1402">
        <f>+F13+F16</f>
        <v>0</v>
      </c>
      <c r="G12" s="1402">
        <f aca="true" t="shared" si="0" ref="G12:G19">SUM(D12:F12)</f>
        <v>173727974</v>
      </c>
      <c r="H12" s="1403">
        <f>G12/(C12*1000)</f>
        <v>1.05</v>
      </c>
      <c r="I12" s="1450"/>
    </row>
    <row r="13" spans="1:9" s="1451" customFormat="1" ht="15" customHeight="1">
      <c r="A13" s="1160" t="s">
        <v>479</v>
      </c>
      <c r="B13" s="1166" t="s">
        <v>480</v>
      </c>
      <c r="C13" s="1167">
        <f>SUM(C14:C15)</f>
        <v>72</v>
      </c>
      <c r="D13" s="1167">
        <f>SUM(D14:D15)</f>
        <v>1166993</v>
      </c>
      <c r="E13" s="1167">
        <f>SUM(E14:E15)</f>
        <v>0</v>
      </c>
      <c r="F13" s="1167">
        <f>SUM(F14:F15)</f>
        <v>0</v>
      </c>
      <c r="G13" s="1162">
        <f>SUM(D13:F13)</f>
        <v>1166993</v>
      </c>
      <c r="H13" s="1168">
        <f>G13/(C13*1000)</f>
        <v>16.21</v>
      </c>
      <c r="I13" s="1450"/>
    </row>
    <row r="14" spans="1:9" s="1451" customFormat="1" ht="15" customHeight="1">
      <c r="A14" s="809"/>
      <c r="B14" s="1148" t="s">
        <v>241</v>
      </c>
      <c r="C14" s="811">
        <v>72</v>
      </c>
      <c r="D14" s="811">
        <v>1111748</v>
      </c>
      <c r="E14" s="811"/>
      <c r="F14" s="811"/>
      <c r="G14" s="811">
        <f t="shared" si="0"/>
        <v>1111748</v>
      </c>
      <c r="H14" s="1169">
        <f>G14/(C14*1000)</f>
        <v>15.44</v>
      </c>
      <c r="I14" s="1450"/>
    </row>
    <row r="15" spans="1:9" s="1451" customFormat="1" ht="15" customHeight="1">
      <c r="A15" s="809"/>
      <c r="B15" s="1148" t="s">
        <v>242</v>
      </c>
      <c r="C15" s="811"/>
      <c r="D15" s="811">
        <v>55245</v>
      </c>
      <c r="E15" s="811"/>
      <c r="F15" s="811"/>
      <c r="G15" s="811">
        <f t="shared" si="0"/>
        <v>55245</v>
      </c>
      <c r="H15" s="1169"/>
      <c r="I15" s="1450"/>
    </row>
    <row r="16" spans="1:9" s="1451" customFormat="1" ht="15" customHeight="1">
      <c r="A16" s="1160" t="s">
        <v>665</v>
      </c>
      <c r="B16" s="1161" t="s">
        <v>666</v>
      </c>
      <c r="C16" s="1162">
        <f>SUM(C17:C18)</f>
        <v>166120</v>
      </c>
      <c r="D16" s="1162">
        <f>SUM(D17:D18)</f>
        <v>170165211</v>
      </c>
      <c r="E16" s="1162">
        <f>SUM(E17:E18)</f>
        <v>2395770</v>
      </c>
      <c r="F16" s="1162">
        <f>SUM(F17:F18)</f>
        <v>0</v>
      </c>
      <c r="G16" s="793">
        <f>SUM(D16:F16)</f>
        <v>172560981</v>
      </c>
      <c r="H16" s="1163">
        <f>G16/(C16*1000)</f>
        <v>1.04</v>
      </c>
      <c r="I16" s="1450"/>
    </row>
    <row r="17" spans="1:9" s="1453" customFormat="1" ht="15" customHeight="1">
      <c r="A17" s="1171"/>
      <c r="B17" s="1172" t="s">
        <v>667</v>
      </c>
      <c r="C17" s="717">
        <v>165519</v>
      </c>
      <c r="D17" s="717">
        <v>170165211</v>
      </c>
      <c r="E17" s="717">
        <v>2395770</v>
      </c>
      <c r="F17" s="717"/>
      <c r="G17" s="797">
        <f t="shared" si="0"/>
        <v>172560981</v>
      </c>
      <c r="H17" s="1173">
        <f>G17/(C17*1000)</f>
        <v>1.04</v>
      </c>
      <c r="I17" s="1452"/>
    </row>
    <row r="18" spans="1:9" s="1405" customFormat="1" ht="15" customHeight="1" thickBot="1">
      <c r="A18" s="1171"/>
      <c r="B18" s="1172" t="s">
        <v>668</v>
      </c>
      <c r="C18" s="717">
        <v>601</v>
      </c>
      <c r="D18" s="717"/>
      <c r="E18" s="717"/>
      <c r="F18" s="717"/>
      <c r="G18" s="797">
        <f t="shared" si="0"/>
        <v>0</v>
      </c>
      <c r="H18" s="1173">
        <f>G18/(C18*1000)</f>
        <v>0</v>
      </c>
      <c r="I18" s="1404"/>
    </row>
    <row r="19" spans="1:9" s="1386" customFormat="1" ht="24.75" customHeight="1" thickBot="1">
      <c r="A19" s="1141"/>
      <c r="B19" s="1142" t="s">
        <v>78</v>
      </c>
      <c r="C19" s="1408">
        <f>C10+C11</f>
        <v>174489</v>
      </c>
      <c r="D19" s="1408">
        <f>D10+D11</f>
        <v>178927102</v>
      </c>
      <c r="E19" s="1408">
        <f>E10+E11</f>
        <v>2809770</v>
      </c>
      <c r="F19" s="1409">
        <f>F10+F11</f>
        <v>0</v>
      </c>
      <c r="G19" s="1408">
        <f t="shared" si="0"/>
        <v>181736872</v>
      </c>
      <c r="H19" s="1144">
        <f>G19/(C19*1000)</f>
        <v>1.04</v>
      </c>
      <c r="I19" s="1385"/>
    </row>
    <row r="20" spans="1:7" ht="16.5" thickBot="1">
      <c r="A20" s="1469"/>
      <c r="B20" s="1469"/>
      <c r="C20" s="1147"/>
      <c r="D20" s="1147"/>
      <c r="E20" s="1147"/>
      <c r="F20" s="1147"/>
      <c r="G20" s="1147"/>
    </row>
    <row r="21" spans="1:8" ht="13.5" customHeight="1">
      <c r="A21" s="805"/>
      <c r="B21" s="806" t="s">
        <v>549</v>
      </c>
      <c r="C21" s="807">
        <f>C3+C5+C6+C8</f>
        <v>8297</v>
      </c>
      <c r="D21" s="807">
        <f>D3+D5+D6+D8</f>
        <v>7594898</v>
      </c>
      <c r="E21" s="807">
        <f>E3+E5+E6+E8</f>
        <v>414000</v>
      </c>
      <c r="F21" s="807">
        <f>F3+F5+F6+F8</f>
        <v>0</v>
      </c>
      <c r="G21" s="807">
        <f aca="true" t="shared" si="1" ref="G21:G27">SUM(D21:F21)</f>
        <v>8008898</v>
      </c>
      <c r="H21" s="808">
        <f>G21/(C21*1000)</f>
        <v>0.97</v>
      </c>
    </row>
    <row r="22" spans="1:8" ht="15.75">
      <c r="A22" s="809"/>
      <c r="B22" s="810" t="s">
        <v>550</v>
      </c>
      <c r="C22" s="811">
        <f>C4+C7+C9</f>
        <v>0</v>
      </c>
      <c r="D22" s="811">
        <f>D4+D7+D9</f>
        <v>0</v>
      </c>
      <c r="E22" s="811">
        <f>E4+E7+E9</f>
        <v>0</v>
      </c>
      <c r="F22" s="811">
        <f>F4+F7+F9</f>
        <v>0</v>
      </c>
      <c r="G22" s="811">
        <f t="shared" si="1"/>
        <v>0</v>
      </c>
      <c r="H22" s="812"/>
    </row>
    <row r="23" spans="1:8" ht="15.75">
      <c r="A23" s="809"/>
      <c r="B23" s="810" t="s">
        <v>551</v>
      </c>
      <c r="C23" s="811">
        <f aca="true" t="shared" si="2" ref="C23:F24">+C14+C17</f>
        <v>165591</v>
      </c>
      <c r="D23" s="811">
        <f t="shared" si="2"/>
        <v>171276959</v>
      </c>
      <c r="E23" s="811">
        <f t="shared" si="2"/>
        <v>2395770</v>
      </c>
      <c r="F23" s="811">
        <f t="shared" si="2"/>
        <v>0</v>
      </c>
      <c r="G23" s="811">
        <f t="shared" si="1"/>
        <v>173672729</v>
      </c>
      <c r="H23" s="812">
        <f>G23/(C23*1000)</f>
        <v>1.05</v>
      </c>
    </row>
    <row r="24" spans="1:8" ht="16.5" thickBot="1">
      <c r="A24" s="813"/>
      <c r="B24" s="814" t="s">
        <v>552</v>
      </c>
      <c r="C24" s="815">
        <f t="shared" si="2"/>
        <v>601</v>
      </c>
      <c r="D24" s="815">
        <f t="shared" si="2"/>
        <v>55245</v>
      </c>
      <c r="E24" s="815">
        <f t="shared" si="2"/>
        <v>0</v>
      </c>
      <c r="F24" s="815">
        <f t="shared" si="2"/>
        <v>0</v>
      </c>
      <c r="G24" s="1175">
        <f t="shared" si="1"/>
        <v>55245</v>
      </c>
      <c r="H24" s="812">
        <f>G24/(C24*1000)</f>
        <v>0.09</v>
      </c>
    </row>
    <row r="25" spans="1:8" ht="15.75">
      <c r="A25" s="817"/>
      <c r="B25" s="818" t="s">
        <v>553</v>
      </c>
      <c r="C25" s="819">
        <f aca="true" t="shared" si="3" ref="C25:F26">C21+C23</f>
        <v>173888</v>
      </c>
      <c r="D25" s="819">
        <f t="shared" si="3"/>
        <v>178871857</v>
      </c>
      <c r="E25" s="819">
        <f t="shared" si="3"/>
        <v>2809770</v>
      </c>
      <c r="F25" s="818">
        <f t="shared" si="3"/>
        <v>0</v>
      </c>
      <c r="G25" s="819">
        <f t="shared" si="1"/>
        <v>181681627</v>
      </c>
      <c r="H25" s="820">
        <f>G25/(C25*1000)</f>
        <v>1.04</v>
      </c>
    </row>
    <row r="26" spans="1:8" ht="16.5" thickBot="1">
      <c r="A26" s="821"/>
      <c r="B26" s="822" t="s">
        <v>554</v>
      </c>
      <c r="C26" s="823">
        <f t="shared" si="3"/>
        <v>601</v>
      </c>
      <c r="D26" s="823">
        <f t="shared" si="3"/>
        <v>55245</v>
      </c>
      <c r="E26" s="823">
        <f t="shared" si="3"/>
        <v>0</v>
      </c>
      <c r="F26" s="822">
        <f t="shared" si="3"/>
        <v>0</v>
      </c>
      <c r="G26" s="823">
        <f t="shared" si="1"/>
        <v>55245</v>
      </c>
      <c r="H26" s="824">
        <f>G26/(C26*1000)</f>
        <v>0.09</v>
      </c>
    </row>
    <row r="27" spans="1:8" ht="16.5" thickBot="1">
      <c r="A27" s="825"/>
      <c r="B27" s="826" t="s">
        <v>555</v>
      </c>
      <c r="C27" s="827">
        <f>C25+C26</f>
        <v>174489</v>
      </c>
      <c r="D27" s="827">
        <f>D25+D26</f>
        <v>178927102</v>
      </c>
      <c r="E27" s="827">
        <f>E25+E26</f>
        <v>2809770</v>
      </c>
      <c r="F27" s="826">
        <f>F25+F26</f>
        <v>0</v>
      </c>
      <c r="G27" s="827">
        <f t="shared" si="1"/>
        <v>181736872</v>
      </c>
      <c r="H27" s="828">
        <f>G27/(C27*1000)</f>
        <v>1.04</v>
      </c>
    </row>
    <row r="28" spans="1:8" ht="16.5" thickBot="1">
      <c r="A28" s="817"/>
      <c r="B28" s="818"/>
      <c r="C28" s="819"/>
      <c r="D28" s="819"/>
      <c r="E28" s="819"/>
      <c r="F28" s="818"/>
      <c r="G28" s="819"/>
      <c r="H28" s="820"/>
    </row>
    <row r="29" spans="1:8" ht="13.5" customHeight="1">
      <c r="A29" s="1904" t="s">
        <v>523</v>
      </c>
      <c r="B29" s="1906" t="s">
        <v>1193</v>
      </c>
      <c r="C29" s="1854" t="s">
        <v>1065</v>
      </c>
      <c r="D29" s="1851" t="s">
        <v>1050</v>
      </c>
      <c r="E29" s="1852"/>
      <c r="F29" s="1852"/>
      <c r="G29" s="1853"/>
      <c r="H29" s="1848" t="s">
        <v>1051</v>
      </c>
    </row>
    <row r="30" spans="1:8" ht="48" thickBot="1">
      <c r="A30" s="1905"/>
      <c r="B30" s="1907"/>
      <c r="C30" s="1855"/>
      <c r="D30" s="1136" t="s">
        <v>287</v>
      </c>
      <c r="E30" s="1136" t="s">
        <v>795</v>
      </c>
      <c r="F30" s="1136" t="s">
        <v>796</v>
      </c>
      <c r="G30" s="1136" t="s">
        <v>65</v>
      </c>
      <c r="H30" s="1849"/>
    </row>
    <row r="31" spans="1:9" s="1386" customFormat="1" ht="24.75" customHeight="1">
      <c r="A31" s="1381" t="s">
        <v>104</v>
      </c>
      <c r="B31" s="1382" t="s">
        <v>105</v>
      </c>
      <c r="C31" s="1383">
        <v>100490</v>
      </c>
      <c r="D31" s="1383">
        <v>109368110</v>
      </c>
      <c r="E31" s="1383">
        <v>1750000</v>
      </c>
      <c r="F31" s="1383"/>
      <c r="G31" s="1383">
        <f aca="true" t="shared" si="4" ref="G31:G41">SUM(D31:F31)</f>
        <v>111118110</v>
      </c>
      <c r="H31" s="1384">
        <f>G31/(C31*1000)</f>
        <v>1.11</v>
      </c>
      <c r="I31" s="1385"/>
    </row>
    <row r="32" spans="1:9" s="1386" customFormat="1" ht="31.5">
      <c r="A32" s="1387" t="s">
        <v>106</v>
      </c>
      <c r="B32" s="1410" t="s">
        <v>107</v>
      </c>
      <c r="C32" s="1392">
        <v>29170</v>
      </c>
      <c r="D32" s="1392">
        <v>26652242</v>
      </c>
      <c r="E32" s="1392">
        <v>645770</v>
      </c>
      <c r="F32" s="1392"/>
      <c r="G32" s="1392">
        <f t="shared" si="4"/>
        <v>27298012</v>
      </c>
      <c r="H32" s="1393">
        <f>G32/(C32*1000)</f>
        <v>0.94</v>
      </c>
      <c r="I32" s="1385"/>
    </row>
    <row r="33" spans="1:9" s="1386" customFormat="1" ht="24.75" customHeight="1">
      <c r="A33" s="1387" t="s">
        <v>108</v>
      </c>
      <c r="B33" s="1391" t="s">
        <v>109</v>
      </c>
      <c r="C33" s="1392">
        <v>44228</v>
      </c>
      <c r="D33" s="1392">
        <v>42851505</v>
      </c>
      <c r="E33" s="1392">
        <v>414000</v>
      </c>
      <c r="F33" s="1392"/>
      <c r="G33" s="1392">
        <f t="shared" si="4"/>
        <v>43265505</v>
      </c>
      <c r="H33" s="1393">
        <f>G33/(C33*1000)</f>
        <v>0.98</v>
      </c>
      <c r="I33" s="1385"/>
    </row>
    <row r="34" spans="1:9" s="1386" customFormat="1" ht="24.75" customHeight="1">
      <c r="A34" s="1387" t="s">
        <v>110</v>
      </c>
      <c r="B34" s="1391" t="s">
        <v>111</v>
      </c>
      <c r="C34" s="1392"/>
      <c r="D34" s="1392"/>
      <c r="E34" s="1392"/>
      <c r="F34" s="1392"/>
      <c r="G34" s="1392">
        <f t="shared" si="4"/>
        <v>0</v>
      </c>
      <c r="H34" s="1393"/>
      <c r="I34" s="1385"/>
    </row>
    <row r="35" spans="1:9" s="1386" customFormat="1" ht="24.75" customHeight="1">
      <c r="A35" s="1387" t="s">
        <v>112</v>
      </c>
      <c r="B35" s="1391" t="s">
        <v>113</v>
      </c>
      <c r="C35" s="1392"/>
      <c r="D35" s="1392"/>
      <c r="E35" s="1392"/>
      <c r="F35" s="1392"/>
      <c r="G35" s="1392">
        <f t="shared" si="4"/>
        <v>0</v>
      </c>
      <c r="H35" s="1393"/>
      <c r="I35" s="1385"/>
    </row>
    <row r="36" spans="1:9" s="1386" customFormat="1" ht="24.75" customHeight="1">
      <c r="A36" s="1387" t="s">
        <v>548</v>
      </c>
      <c r="B36" s="1391" t="s">
        <v>121</v>
      </c>
      <c r="C36" s="1392">
        <v>601</v>
      </c>
      <c r="D36" s="1392">
        <v>55245</v>
      </c>
      <c r="E36" s="1392"/>
      <c r="F36" s="1392"/>
      <c r="G36" s="1392">
        <f t="shared" si="4"/>
        <v>55245</v>
      </c>
      <c r="H36" s="1393">
        <f>G36/(C36*1000)</f>
        <v>0.09</v>
      </c>
      <c r="I36" s="1385"/>
    </row>
    <row r="37" spans="1:9" s="1386" customFormat="1" ht="24.75" customHeight="1">
      <c r="A37" s="1387" t="s">
        <v>122</v>
      </c>
      <c r="B37" s="1391" t="s">
        <v>123</v>
      </c>
      <c r="C37" s="1392"/>
      <c r="D37" s="1392"/>
      <c r="E37" s="1392"/>
      <c r="F37" s="1392"/>
      <c r="G37" s="1392">
        <f t="shared" si="4"/>
        <v>0</v>
      </c>
      <c r="H37" s="1393"/>
      <c r="I37" s="1385"/>
    </row>
    <row r="38" spans="1:9" s="1386" customFormat="1" ht="24.75" customHeight="1" thickBot="1">
      <c r="A38" s="1394" t="s">
        <v>124</v>
      </c>
      <c r="B38" s="1395" t="s">
        <v>125</v>
      </c>
      <c r="C38" s="1396"/>
      <c r="D38" s="1396"/>
      <c r="E38" s="1396"/>
      <c r="F38" s="1396"/>
      <c r="G38" s="1396">
        <f t="shared" si="4"/>
        <v>0</v>
      </c>
      <c r="H38" s="1411"/>
      <c r="I38" s="1385"/>
    </row>
    <row r="39" spans="1:8" ht="16.5" thickBot="1">
      <c r="A39" s="782" t="s">
        <v>138</v>
      </c>
      <c r="B39" s="783" t="s">
        <v>139</v>
      </c>
      <c r="C39" s="784">
        <f>C31+C32+C33+C34+C35+C36+C37+C38</f>
        <v>174489</v>
      </c>
      <c r="D39" s="784">
        <f>D31+D32+D33+D34+D35+D36+D37+D38</f>
        <v>178927102</v>
      </c>
      <c r="E39" s="784">
        <f>E31+E32+E33+E34+E35+E36+E37+E38</f>
        <v>2809770</v>
      </c>
      <c r="F39" s="784">
        <f>F31+F32+F33+F34+F35+F36+F37+F38</f>
        <v>0</v>
      </c>
      <c r="G39" s="1139">
        <f t="shared" si="4"/>
        <v>181736872</v>
      </c>
      <c r="H39" s="786">
        <f>G39/(C39*1000)</f>
        <v>1.04</v>
      </c>
    </row>
    <row r="40" spans="1:9" s="1386" customFormat="1" ht="24.75" customHeight="1" thickBot="1">
      <c r="A40" s="1437" t="s">
        <v>129</v>
      </c>
      <c r="B40" s="1438" t="s">
        <v>130</v>
      </c>
      <c r="C40" s="1439"/>
      <c r="D40" s="1439"/>
      <c r="E40" s="1439"/>
      <c r="F40" s="1439"/>
      <c r="G40" s="1439">
        <f t="shared" si="4"/>
        <v>0</v>
      </c>
      <c r="H40" s="1440"/>
      <c r="I40" s="1385"/>
    </row>
    <row r="41" spans="1:8" s="1449" customFormat="1" ht="24.75" customHeight="1" thickBot="1">
      <c r="A41" s="1141"/>
      <c r="B41" s="1142" t="s">
        <v>77</v>
      </c>
      <c r="C41" s="1408">
        <f>C40+C39</f>
        <v>174489</v>
      </c>
      <c r="D41" s="1408">
        <f>D40+D39</f>
        <v>178927102</v>
      </c>
      <c r="E41" s="1408">
        <f>E40+E39</f>
        <v>2809770</v>
      </c>
      <c r="F41" s="1409">
        <f>F40+F39</f>
        <v>0</v>
      </c>
      <c r="G41" s="1408">
        <f t="shared" si="4"/>
        <v>181736872</v>
      </c>
      <c r="H41" s="1144">
        <f>G41/(C41*1000)</f>
        <v>1.04</v>
      </c>
    </row>
    <row r="42" spans="1:8" ht="16.5" thickBot="1">
      <c r="A42" s="1470"/>
      <c r="B42" s="1471"/>
      <c r="C42" s="802"/>
      <c r="D42" s="802"/>
      <c r="E42" s="802"/>
      <c r="F42" s="803"/>
      <c r="G42" s="803"/>
      <c r="H42" s="804"/>
    </row>
    <row r="43" spans="1:8" ht="15.75">
      <c r="A43" s="805"/>
      <c r="B43" s="806" t="s">
        <v>158</v>
      </c>
      <c r="C43" s="807">
        <f>C31+C32+C33+C34+C35</f>
        <v>173888</v>
      </c>
      <c r="D43" s="807">
        <f>D31+D32+D33+D34+D35</f>
        <v>178871857</v>
      </c>
      <c r="E43" s="807">
        <f>E31+E32+E33+E34+E35</f>
        <v>2809770</v>
      </c>
      <c r="F43" s="807">
        <f>F31+F32+F33+F34+F35</f>
        <v>0</v>
      </c>
      <c r="G43" s="807">
        <f>SUM(D43:F43)</f>
        <v>181681627</v>
      </c>
      <c r="H43" s="808">
        <f>G43/(C43*1000)</f>
        <v>1.04</v>
      </c>
    </row>
    <row r="44" spans="1:8" ht="15.75">
      <c r="A44" s="809"/>
      <c r="B44" s="810" t="s">
        <v>159</v>
      </c>
      <c r="C44" s="811">
        <f>C36+C37+C38</f>
        <v>601</v>
      </c>
      <c r="D44" s="811">
        <f>D36+D37+D38</f>
        <v>55245</v>
      </c>
      <c r="E44" s="811">
        <f>E36+E37+E38</f>
        <v>0</v>
      </c>
      <c r="F44" s="811">
        <f>F36+F37+F38</f>
        <v>0</v>
      </c>
      <c r="G44" s="811">
        <f>SUM(D44:F44)</f>
        <v>55245</v>
      </c>
      <c r="H44" s="812">
        <f>G44/(C44*1000)</f>
        <v>0.09</v>
      </c>
    </row>
    <row r="45" spans="1:8" ht="15.75">
      <c r="A45" s="809"/>
      <c r="B45" s="810" t="s">
        <v>160</v>
      </c>
      <c r="C45" s="811">
        <f>C40</f>
        <v>0</v>
      </c>
      <c r="D45" s="811">
        <f>D40</f>
        <v>0</v>
      </c>
      <c r="E45" s="811">
        <f>E40</f>
        <v>0</v>
      </c>
      <c r="F45" s="811">
        <f>F40</f>
        <v>0</v>
      </c>
      <c r="G45" s="811">
        <f>SUM(D45:F45)</f>
        <v>0</v>
      </c>
      <c r="H45" s="812"/>
    </row>
    <row r="46" spans="1:8" ht="16.5" thickBot="1">
      <c r="A46" s="813"/>
      <c r="B46" s="814" t="s">
        <v>161</v>
      </c>
      <c r="C46" s="815">
        <f>C40</f>
        <v>0</v>
      </c>
      <c r="D46" s="815">
        <f>D40</f>
        <v>0</v>
      </c>
      <c r="E46" s="815">
        <f>E40</f>
        <v>0</v>
      </c>
      <c r="F46" s="815">
        <f>F40</f>
        <v>0</v>
      </c>
      <c r="G46" s="815">
        <f>G40</f>
        <v>0</v>
      </c>
      <c r="H46" s="816"/>
    </row>
    <row r="47" spans="1:8" ht="15.75">
      <c r="A47" s="817"/>
      <c r="B47" s="818" t="s">
        <v>162</v>
      </c>
      <c r="C47" s="819">
        <f aca="true" t="shared" si="5" ref="C47:F48">C43+C45</f>
        <v>173888</v>
      </c>
      <c r="D47" s="819">
        <f t="shared" si="5"/>
        <v>178871857</v>
      </c>
      <c r="E47" s="819">
        <f t="shared" si="5"/>
        <v>2809770</v>
      </c>
      <c r="F47" s="818">
        <f t="shared" si="5"/>
        <v>0</v>
      </c>
      <c r="G47" s="819">
        <f>SUM(D47:F47)</f>
        <v>181681627</v>
      </c>
      <c r="H47" s="820">
        <f>G47/(C47*1000)</f>
        <v>1.04</v>
      </c>
    </row>
    <row r="48" spans="1:8" ht="16.5" thickBot="1">
      <c r="A48" s="821"/>
      <c r="B48" s="822" t="s">
        <v>163</v>
      </c>
      <c r="C48" s="823">
        <f t="shared" si="5"/>
        <v>601</v>
      </c>
      <c r="D48" s="823">
        <f t="shared" si="5"/>
        <v>55245</v>
      </c>
      <c r="E48" s="823">
        <f t="shared" si="5"/>
        <v>0</v>
      </c>
      <c r="F48" s="822">
        <f t="shared" si="5"/>
        <v>0</v>
      </c>
      <c r="G48" s="823">
        <f>SUM(D48:F48)</f>
        <v>55245</v>
      </c>
      <c r="H48" s="824">
        <f>G48/(C48*1000)</f>
        <v>0.09</v>
      </c>
    </row>
    <row r="49" spans="1:8" ht="16.5" thickBot="1">
      <c r="A49" s="825"/>
      <c r="B49" s="826" t="s">
        <v>164</v>
      </c>
      <c r="C49" s="827">
        <f>C47+C48</f>
        <v>174489</v>
      </c>
      <c r="D49" s="827">
        <f>D47+D48</f>
        <v>178927102</v>
      </c>
      <c r="E49" s="827">
        <f>E47+E48</f>
        <v>2809770</v>
      </c>
      <c r="F49" s="826">
        <f>F47+F48</f>
        <v>0</v>
      </c>
      <c r="G49" s="827">
        <f>SUM(D49:F49)</f>
        <v>181736872</v>
      </c>
      <c r="H49" s="828">
        <f>G49/(C49*1000)</f>
        <v>1.04</v>
      </c>
    </row>
  </sheetData>
  <sheetProtection/>
  <mergeCells count="10">
    <mergeCell ref="H1:H2"/>
    <mergeCell ref="A29:A30"/>
    <mergeCell ref="B29:B30"/>
    <mergeCell ref="C29:C30"/>
    <mergeCell ref="D29:G29"/>
    <mergeCell ref="H29:H30"/>
    <mergeCell ref="A1:A2"/>
    <mergeCell ref="D1:G1"/>
    <mergeCell ref="C1:C2"/>
    <mergeCell ref="B1:B2"/>
  </mergeCells>
  <printOptions horizontalCentered="1"/>
  <pageMargins left="0.3937007874015748" right="0.3937007874015748" top="0.7874015748031497" bottom="0.7874015748031497" header="0.3937007874015748" footer="0.3937007874015748"/>
  <pageSetup fitToHeight="0" fitToWidth="1" orientation="landscape" paperSize="9" scale="90" r:id="rId1"/>
  <headerFooter alignWithMargins="0">
    <oddHeader>&amp;C&amp;"Times New Roman,Félkövér"PESTERZSÉBETI BAROSS NÉMET NEMZETISÉGI ÓVODA
 2017. ÉVI BEVÉTELEI ÉS KIADÁSAI
&amp;R&amp;"Times New Roman,Félkövér"4.9. sz. melléklet&amp;"MS Sans Serif,Normál"
</oddHeader>
  </headerFooter>
  <rowBreaks count="1" manualBreakCount="1">
    <brk id="27" max="7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 codeName="Munka69">
    <pageSetUpPr fitToPage="1"/>
  </sheetPr>
  <dimension ref="A1:H14"/>
  <sheetViews>
    <sheetView zoomScale="80" zoomScaleNormal="80" zoomScalePageLayoutView="0" workbookViewId="0" topLeftCell="A1">
      <pane ySplit="1" topLeftCell="A2" activePane="bottomLeft" state="frozen"/>
      <selection pane="topLeft" activeCell="D16" sqref="D16"/>
      <selection pane="bottomLeft" activeCell="P18" sqref="P18"/>
    </sheetView>
  </sheetViews>
  <sheetFormatPr defaultColWidth="9.140625" defaultRowHeight="12.75"/>
  <cols>
    <col min="1" max="1" width="9.140625" style="694" customWidth="1"/>
    <col min="2" max="2" width="70.7109375" style="694" customWidth="1"/>
    <col min="3" max="8" width="18.28125" style="694" customWidth="1"/>
    <col min="9" max="16384" width="9.140625" style="694" customWidth="1"/>
  </cols>
  <sheetData>
    <row r="1" spans="1:8" ht="13.5" customHeight="1">
      <c r="A1" s="1928" t="s">
        <v>523</v>
      </c>
      <c r="B1" s="1906" t="s">
        <v>995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8" ht="48" thickBot="1">
      <c r="A2" s="1929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8" ht="15.75">
      <c r="A3" s="707" t="s">
        <v>213</v>
      </c>
      <c r="B3" s="708" t="s">
        <v>214</v>
      </c>
      <c r="C3" s="709"/>
      <c r="D3" s="709"/>
      <c r="E3" s="708"/>
      <c r="F3" s="708"/>
      <c r="G3" s="709">
        <f>SUM(D3:F3)</f>
        <v>0</v>
      </c>
      <c r="H3" s="721"/>
    </row>
    <row r="4" spans="1:8" ht="15" customHeight="1">
      <c r="A4" s="714" t="s">
        <v>215</v>
      </c>
      <c r="B4" s="691" t="s">
        <v>216</v>
      </c>
      <c r="C4" s="695"/>
      <c r="D4" s="695"/>
      <c r="E4" s="695"/>
      <c r="F4" s="695"/>
      <c r="G4" s="695">
        <f>SUM(D4:F4)</f>
        <v>0</v>
      </c>
      <c r="H4" s="1427"/>
    </row>
    <row r="5" spans="1:8" ht="15" customHeight="1">
      <c r="A5" s="714" t="s">
        <v>534</v>
      </c>
      <c r="B5" s="691" t="s">
        <v>535</v>
      </c>
      <c r="C5" s="700">
        <f>SUM(C6:C6)</f>
        <v>197</v>
      </c>
      <c r="D5" s="695">
        <f>SUM(D6:D6)</f>
        <v>0</v>
      </c>
      <c r="E5" s="1428">
        <f>SUM(E6:E6)</f>
        <v>0</v>
      </c>
      <c r="F5" s="1428">
        <f>SUM(F6:F6)</f>
        <v>0</v>
      </c>
      <c r="G5" s="700">
        <f aca="true" t="shared" si="0" ref="G5:G14">SUM(D5:F5)</f>
        <v>0</v>
      </c>
      <c r="H5" s="701"/>
    </row>
    <row r="6" spans="1:8" ht="15" customHeight="1">
      <c r="A6" s="715"/>
      <c r="B6" s="690" t="s">
        <v>556</v>
      </c>
      <c r="C6" s="696">
        <v>197</v>
      </c>
      <c r="D6" s="696"/>
      <c r="E6" s="697"/>
      <c r="F6" s="697"/>
      <c r="G6" s="696">
        <f t="shared" si="0"/>
        <v>0</v>
      </c>
      <c r="H6" s="698"/>
    </row>
    <row r="7" spans="1:8" ht="15" customHeight="1">
      <c r="A7" s="714" t="s">
        <v>536</v>
      </c>
      <c r="B7" s="691" t="s">
        <v>537</v>
      </c>
      <c r="C7" s="695">
        <f>C8+C10</f>
        <v>276</v>
      </c>
      <c r="D7" s="695">
        <f>D8+D10</f>
        <v>43500</v>
      </c>
      <c r="E7" s="695">
        <f>E8+E10</f>
        <v>0</v>
      </c>
      <c r="F7" s="695">
        <f>F8+F10</f>
        <v>0</v>
      </c>
      <c r="G7" s="702">
        <f t="shared" si="0"/>
        <v>43500</v>
      </c>
      <c r="H7" s="701">
        <f>G7/(C7*1000)</f>
        <v>0.16</v>
      </c>
    </row>
    <row r="8" spans="1:8" ht="15" customHeight="1">
      <c r="A8" s="715"/>
      <c r="B8" s="1429" t="s">
        <v>538</v>
      </c>
      <c r="C8" s="1430">
        <f>SUM(C9:C9)</f>
        <v>276</v>
      </c>
      <c r="D8" s="1430">
        <f>SUM(D9:D9)</f>
        <v>43500</v>
      </c>
      <c r="E8" s="1430">
        <f>SUM(E9:E9)</f>
        <v>0</v>
      </c>
      <c r="F8" s="1430">
        <f>SUM(F9:F9)</f>
        <v>0</v>
      </c>
      <c r="G8" s="1431">
        <f t="shared" si="0"/>
        <v>43500</v>
      </c>
      <c r="H8" s="1432">
        <f>G8/(C8*1000)</f>
        <v>0.16</v>
      </c>
    </row>
    <row r="9" spans="1:8" ht="15" customHeight="1">
      <c r="A9" s="715"/>
      <c r="B9" s="716" t="s">
        <v>557</v>
      </c>
      <c r="C9" s="696">
        <v>276</v>
      </c>
      <c r="D9" s="696">
        <v>43500</v>
      </c>
      <c r="E9" s="696"/>
      <c r="F9" s="696"/>
      <c r="G9" s="703">
        <f t="shared" si="0"/>
        <v>43500</v>
      </c>
      <c r="H9" s="698">
        <f>G9/(C9*1000)</f>
        <v>0.16</v>
      </c>
    </row>
    <row r="10" spans="1:8" ht="15.75">
      <c r="A10" s="715" t="s">
        <v>539</v>
      </c>
      <c r="B10" s="1429" t="s">
        <v>540</v>
      </c>
      <c r="C10" s="696"/>
      <c r="D10" s="696"/>
      <c r="E10" s="696"/>
      <c r="F10" s="696"/>
      <c r="G10" s="717">
        <f t="shared" si="0"/>
        <v>0</v>
      </c>
      <c r="H10" s="699"/>
    </row>
    <row r="11" spans="1:8" ht="15.75">
      <c r="A11" s="714" t="s">
        <v>541</v>
      </c>
      <c r="B11" s="691" t="s">
        <v>542</v>
      </c>
      <c r="C11" s="700"/>
      <c r="D11" s="700"/>
      <c r="E11" s="700"/>
      <c r="F11" s="700"/>
      <c r="G11" s="700">
        <f t="shared" si="0"/>
        <v>0</v>
      </c>
      <c r="H11" s="1434"/>
    </row>
    <row r="12" spans="1:8" ht="15.75">
      <c r="A12" s="714" t="s">
        <v>543</v>
      </c>
      <c r="B12" s="691" t="s">
        <v>546</v>
      </c>
      <c r="C12" s="700"/>
      <c r="D12" s="700"/>
      <c r="E12" s="700"/>
      <c r="F12" s="700"/>
      <c r="G12" s="700">
        <f t="shared" si="0"/>
        <v>0</v>
      </c>
      <c r="H12" s="1434"/>
    </row>
    <row r="13" spans="1:8" ht="16.5" thickBot="1">
      <c r="A13" s="718" t="s">
        <v>544</v>
      </c>
      <c r="B13" s="692" t="s">
        <v>545</v>
      </c>
      <c r="C13" s="704">
        <f>(C3+C4+C5+C7)*27%</f>
        <v>128</v>
      </c>
      <c r="D13" s="704">
        <f>((D3+D4+D5+D7)*27%)</f>
        <v>11745</v>
      </c>
      <c r="E13" s="704">
        <f>(E3+E4+E5+E7)*27%</f>
        <v>0</v>
      </c>
      <c r="F13" s="704">
        <f>(F3+F4+F5+F7)*27%</f>
        <v>0</v>
      </c>
      <c r="G13" s="704">
        <f t="shared" si="0"/>
        <v>11745</v>
      </c>
      <c r="H13" s="705">
        <f>G13/(C13*1000)</f>
        <v>0.09</v>
      </c>
    </row>
    <row r="14" spans="1:8" s="1343" customFormat="1" ht="35.25" customHeight="1" thickBot="1">
      <c r="A14" s="719"/>
      <c r="B14" s="693" t="s">
        <v>547</v>
      </c>
      <c r="C14" s="693">
        <f>C3+C4+C5+C7+C11+C12+C13</f>
        <v>601</v>
      </c>
      <c r="D14" s="693">
        <f>D3+D4+D5+D7+D11+D12+D13</f>
        <v>55245</v>
      </c>
      <c r="E14" s="693">
        <f>E3+E4+E5+E7+E11+E12+E13</f>
        <v>0</v>
      </c>
      <c r="F14" s="693">
        <f>F3+F4+F5+F7+F11+F12+F13</f>
        <v>0</v>
      </c>
      <c r="G14" s="693">
        <f t="shared" si="0"/>
        <v>55245</v>
      </c>
      <c r="H14" s="706">
        <f>G14/(C14*1000)</f>
        <v>0.09</v>
      </c>
    </row>
  </sheetData>
  <sheetProtection/>
  <mergeCells count="5">
    <mergeCell ref="A1:A2"/>
    <mergeCell ref="H1:H2"/>
    <mergeCell ref="C1:C2"/>
    <mergeCell ref="B1:B2"/>
    <mergeCell ref="D1:G1"/>
  </mergeCells>
  <printOptions horizontalCentered="1"/>
  <pageMargins left="0.5905511811023623" right="0.5905511811023623" top="0.984251968503937" bottom="1.1811023622047245" header="0.3937007874015748" footer="0.3937007874015748"/>
  <pageSetup fitToHeight="1" fitToWidth="1" orientation="landscape" paperSize="9" scale="72" r:id="rId1"/>
  <headerFooter alignWithMargins="0">
    <oddHeader>&amp;C&amp;"Times New Roman,Normál"PESTERZSÉBETI BAROSS NÉMET NEMZETISÉGI ÓVODA
2017. ÉVI BERUHÁZÁSI KIADÁSAI 
&amp;R&amp;"Times New Roman,Normál"4.10. sz. melléklet&amp;"MS Sans Serif,Normál"
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Munka70"/>
  <dimension ref="A1:I49"/>
  <sheetViews>
    <sheetView zoomScalePageLayoutView="0" workbookViewId="0" topLeftCell="A1">
      <pane xSplit="2" ySplit="2" topLeftCell="C17" activePane="bottomRight" state="frozen"/>
      <selection pane="topLeft" activeCell="H18" sqref="H18:H20"/>
      <selection pane="topRight" activeCell="H18" sqref="H18:H20"/>
      <selection pane="bottomLeft" activeCell="H18" sqref="H18:H20"/>
      <selection pane="bottomRight" activeCell="F32" sqref="F32"/>
    </sheetView>
  </sheetViews>
  <sheetFormatPr defaultColWidth="9.140625" defaultRowHeight="12.75"/>
  <cols>
    <col min="1" max="1" width="9.140625" style="1147" customWidth="1"/>
    <col min="2" max="2" width="52.28125" style="1147" customWidth="1"/>
    <col min="3" max="3" width="14.28125" style="1146" customWidth="1"/>
    <col min="4" max="4" width="15.421875" style="1146" bestFit="1" customWidth="1"/>
    <col min="5" max="5" width="15.57421875" style="1146" customWidth="1"/>
    <col min="6" max="6" width="17.7109375" style="1146" customWidth="1"/>
    <col min="7" max="7" width="16.140625" style="1146" customWidth="1"/>
    <col min="8" max="8" width="14.28125" style="1147" customWidth="1"/>
    <col min="9" max="9" width="14.140625" style="1146" customWidth="1"/>
    <col min="10" max="10" width="12.421875" style="1147" customWidth="1"/>
    <col min="11" max="11" width="10.00390625" style="1147" customWidth="1"/>
    <col min="12" max="16384" width="9.140625" style="1147" customWidth="1"/>
  </cols>
  <sheetData>
    <row r="1" spans="1:8" ht="13.5" customHeight="1">
      <c r="A1" s="1844" t="s">
        <v>523</v>
      </c>
      <c r="B1" s="1906" t="s">
        <v>1194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9" ht="48" thickBot="1">
      <c r="A2" s="1845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  <c r="I2" s="1454"/>
    </row>
    <row r="3" spans="1:9" s="1386" customFormat="1" ht="31.5">
      <c r="A3" s="1381" t="s">
        <v>185</v>
      </c>
      <c r="B3" s="1410" t="s">
        <v>186</v>
      </c>
      <c r="C3" s="1383"/>
      <c r="D3" s="1383"/>
      <c r="E3" s="1383"/>
      <c r="F3" s="1383"/>
      <c r="G3" s="1383">
        <f>SUM(D3:F3)</f>
        <v>0</v>
      </c>
      <c r="H3" s="1384"/>
      <c r="I3" s="1455"/>
    </row>
    <row r="4" spans="1:9" s="1386" customFormat="1" ht="31.5">
      <c r="A4" s="1387" t="s">
        <v>187</v>
      </c>
      <c r="B4" s="1410" t="s">
        <v>514</v>
      </c>
      <c r="C4" s="1392"/>
      <c r="D4" s="1392"/>
      <c r="E4" s="1392"/>
      <c r="F4" s="1392"/>
      <c r="G4" s="1392">
        <f>SUM(D4:F4)</f>
        <v>0</v>
      </c>
      <c r="H4" s="1393"/>
      <c r="I4" s="1455"/>
    </row>
    <row r="5" spans="1:9" s="1386" customFormat="1" ht="19.5" customHeight="1">
      <c r="A5" s="1387" t="s">
        <v>193</v>
      </c>
      <c r="B5" s="1391" t="s">
        <v>148</v>
      </c>
      <c r="C5" s="1392"/>
      <c r="D5" s="1392"/>
      <c r="E5" s="1392"/>
      <c r="F5" s="1392"/>
      <c r="G5" s="1392">
        <f>SUM(D5:F5)</f>
        <v>0</v>
      </c>
      <c r="H5" s="1393"/>
      <c r="I5" s="1455"/>
    </row>
    <row r="6" spans="1:9" s="1386" customFormat="1" ht="19.5" customHeight="1">
      <c r="A6" s="1387" t="s">
        <v>469</v>
      </c>
      <c r="B6" s="1391" t="s">
        <v>664</v>
      </c>
      <c r="C6" s="1392">
        <v>21623</v>
      </c>
      <c r="D6" s="1392">
        <v>16714862</v>
      </c>
      <c r="E6" s="1392">
        <v>121920</v>
      </c>
      <c r="F6" s="1392"/>
      <c r="G6" s="1392">
        <f>SUM(D6:F6)</f>
        <v>16836782</v>
      </c>
      <c r="H6" s="1393">
        <f>G6/(C6*1000)</f>
        <v>0.78</v>
      </c>
      <c r="I6" s="1455"/>
    </row>
    <row r="7" spans="1:9" s="1386" customFormat="1" ht="19.5" customHeight="1">
      <c r="A7" s="1387" t="s">
        <v>486</v>
      </c>
      <c r="B7" s="1391" t="s">
        <v>663</v>
      </c>
      <c r="C7" s="1392"/>
      <c r="D7" s="1392"/>
      <c r="E7" s="1392"/>
      <c r="F7" s="1392"/>
      <c r="G7" s="1392"/>
      <c r="H7" s="1393"/>
      <c r="I7" s="1455"/>
    </row>
    <row r="8" spans="1:9" s="1386" customFormat="1" ht="19.5" customHeight="1">
      <c r="A8" s="1387" t="s">
        <v>471</v>
      </c>
      <c r="B8" s="1391" t="s">
        <v>475</v>
      </c>
      <c r="C8" s="1392"/>
      <c r="D8" s="1392"/>
      <c r="E8" s="1392"/>
      <c r="F8" s="1392"/>
      <c r="G8" s="1392"/>
      <c r="H8" s="1393"/>
      <c r="I8" s="1455"/>
    </row>
    <row r="9" spans="1:9" s="1386" customFormat="1" ht="19.5" customHeight="1" thickBot="1">
      <c r="A9" s="1394" t="s">
        <v>473</v>
      </c>
      <c r="B9" s="1395" t="s">
        <v>474</v>
      </c>
      <c r="C9" s="1396"/>
      <c r="D9" s="1396"/>
      <c r="E9" s="1396"/>
      <c r="F9" s="1396"/>
      <c r="G9" s="1396"/>
      <c r="H9" s="1397"/>
      <c r="I9" s="1455"/>
    </row>
    <row r="10" spans="1:9" s="1451" customFormat="1" ht="15" customHeight="1" thickBot="1">
      <c r="A10" s="782" t="s">
        <v>476</v>
      </c>
      <c r="B10" s="783" t="s">
        <v>286</v>
      </c>
      <c r="C10" s="784">
        <f>C3+C4+C5+C6+C7+C8+C9</f>
        <v>21623</v>
      </c>
      <c r="D10" s="784">
        <f>D3+D4+D5+D6+D7+D8+D9</f>
        <v>16714862</v>
      </c>
      <c r="E10" s="784">
        <f>E3+E4+E5+E6+E7+E8+E9</f>
        <v>121920</v>
      </c>
      <c r="F10" s="784">
        <f>F3+F4+F5+F6+F7+F8+F9</f>
        <v>0</v>
      </c>
      <c r="G10" s="1139">
        <f>SUM(D10:F10)</f>
        <v>16836782</v>
      </c>
      <c r="H10" s="786">
        <f>G10/(C10*1000)</f>
        <v>0.78</v>
      </c>
      <c r="I10" s="1456"/>
    </row>
    <row r="11" spans="1:9" s="1451" customFormat="1" ht="15" customHeight="1">
      <c r="A11" s="1381" t="s">
        <v>477</v>
      </c>
      <c r="B11" s="1382" t="s">
        <v>478</v>
      </c>
      <c r="C11" s="1383">
        <f>+C12</f>
        <v>298356</v>
      </c>
      <c r="D11" s="1383">
        <f>+D12</f>
        <v>308494363</v>
      </c>
      <c r="E11" s="1383">
        <f>+E12</f>
        <v>4170990</v>
      </c>
      <c r="F11" s="1383">
        <f>+F12</f>
        <v>0</v>
      </c>
      <c r="G11" s="1383">
        <f>+G12</f>
        <v>312665353</v>
      </c>
      <c r="H11" s="1384">
        <f>G11/(C11*1000)</f>
        <v>1.05</v>
      </c>
      <c r="I11" s="1456"/>
    </row>
    <row r="12" spans="1:9" s="1451" customFormat="1" ht="15" customHeight="1">
      <c r="A12" s="1400" t="s">
        <v>483</v>
      </c>
      <c r="B12" s="1401" t="s">
        <v>484</v>
      </c>
      <c r="C12" s="1402">
        <f>+C13+C16</f>
        <v>298356</v>
      </c>
      <c r="D12" s="1402">
        <f>+D13+D16</f>
        <v>308494363</v>
      </c>
      <c r="E12" s="1402">
        <f>+E13+E16</f>
        <v>4170990</v>
      </c>
      <c r="F12" s="1402">
        <f>+F13+F16</f>
        <v>0</v>
      </c>
      <c r="G12" s="1402">
        <f aca="true" t="shared" si="0" ref="G12:G19">SUM(D12:F12)</f>
        <v>312665353</v>
      </c>
      <c r="H12" s="1403">
        <f>G12/(C12*1000)</f>
        <v>1.05</v>
      </c>
      <c r="I12" s="1456"/>
    </row>
    <row r="13" spans="1:9" s="1451" customFormat="1" ht="15" customHeight="1">
      <c r="A13" s="1160" t="s">
        <v>479</v>
      </c>
      <c r="B13" s="1166" t="s">
        <v>480</v>
      </c>
      <c r="C13" s="1167">
        <f>SUM(C14:C15)</f>
        <v>447</v>
      </c>
      <c r="D13" s="1167">
        <f>SUM(D14:D15)</f>
        <v>1320368</v>
      </c>
      <c r="E13" s="1167">
        <f>SUM(E14:E15)</f>
        <v>0</v>
      </c>
      <c r="F13" s="1167">
        <f>SUM(F14:F15)</f>
        <v>0</v>
      </c>
      <c r="G13" s="1162">
        <f>SUM(D13:F13)</f>
        <v>1320368</v>
      </c>
      <c r="H13" s="1168">
        <f>G13/(C13*1000)</f>
        <v>2.95</v>
      </c>
      <c r="I13" s="1456"/>
    </row>
    <row r="14" spans="1:9" s="1451" customFormat="1" ht="15" customHeight="1">
      <c r="A14" s="809"/>
      <c r="B14" s="1148" t="s">
        <v>241</v>
      </c>
      <c r="C14" s="811">
        <v>447</v>
      </c>
      <c r="D14" s="811">
        <v>253603</v>
      </c>
      <c r="E14" s="811"/>
      <c r="F14" s="811"/>
      <c r="G14" s="811">
        <f t="shared" si="0"/>
        <v>253603</v>
      </c>
      <c r="H14" s="1169">
        <f>G14/(C14*1000)</f>
        <v>0.57</v>
      </c>
      <c r="I14" s="1456"/>
    </row>
    <row r="15" spans="1:9" s="1451" customFormat="1" ht="15" customHeight="1">
      <c r="A15" s="809"/>
      <c r="B15" s="1148" t="s">
        <v>242</v>
      </c>
      <c r="C15" s="811"/>
      <c r="D15" s="811">
        <v>1066765</v>
      </c>
      <c r="E15" s="811"/>
      <c r="F15" s="811"/>
      <c r="G15" s="811">
        <f t="shared" si="0"/>
        <v>1066765</v>
      </c>
      <c r="H15" s="1169"/>
      <c r="I15" s="1456"/>
    </row>
    <row r="16" spans="1:9" s="1451" customFormat="1" ht="15" customHeight="1">
      <c r="A16" s="1160" t="s">
        <v>665</v>
      </c>
      <c r="B16" s="1161" t="s">
        <v>666</v>
      </c>
      <c r="C16" s="1162">
        <f>SUM(C17:C18)</f>
        <v>297909</v>
      </c>
      <c r="D16" s="1162">
        <f>SUM(D17:D18)</f>
        <v>307173995</v>
      </c>
      <c r="E16" s="1162">
        <f>SUM(E17:E18)</f>
        <v>4170990</v>
      </c>
      <c r="F16" s="1162">
        <f>SUM(F17:F18)</f>
        <v>0</v>
      </c>
      <c r="G16" s="793">
        <f>SUM(D16:F16)</f>
        <v>311344985</v>
      </c>
      <c r="H16" s="1163">
        <f>G16/(C16*1000)</f>
        <v>1.05</v>
      </c>
      <c r="I16" s="1456"/>
    </row>
    <row r="17" spans="1:9" s="1453" customFormat="1" ht="15" customHeight="1">
      <c r="A17" s="1171"/>
      <c r="B17" s="1172" t="s">
        <v>667</v>
      </c>
      <c r="C17" s="717">
        <v>297464</v>
      </c>
      <c r="D17" s="717">
        <v>307173995</v>
      </c>
      <c r="E17" s="717">
        <v>4170990</v>
      </c>
      <c r="F17" s="717"/>
      <c r="G17" s="797">
        <f t="shared" si="0"/>
        <v>311344985</v>
      </c>
      <c r="H17" s="1173">
        <f>G17/(C17*1000)</f>
        <v>1.05</v>
      </c>
      <c r="I17" s="1457"/>
    </row>
    <row r="18" spans="1:9" s="1405" customFormat="1" ht="15" customHeight="1" thickBot="1">
      <c r="A18" s="1171"/>
      <c r="B18" s="1172" t="s">
        <v>668</v>
      </c>
      <c r="C18" s="717">
        <v>445</v>
      </c>
      <c r="D18" s="717"/>
      <c r="E18" s="717"/>
      <c r="F18" s="717"/>
      <c r="G18" s="797">
        <f t="shared" si="0"/>
        <v>0</v>
      </c>
      <c r="H18" s="1173">
        <f>G18/(C18*1000)</f>
        <v>0</v>
      </c>
      <c r="I18" s="1458"/>
    </row>
    <row r="19" spans="1:9" s="1386" customFormat="1" ht="24.75" customHeight="1" thickBot="1">
      <c r="A19" s="1141"/>
      <c r="B19" s="1142" t="s">
        <v>78</v>
      </c>
      <c r="C19" s="1408">
        <f>C10+C11</f>
        <v>319979</v>
      </c>
      <c r="D19" s="1408">
        <f>D10+D11</f>
        <v>325209225</v>
      </c>
      <c r="E19" s="1408">
        <f>E10+E11</f>
        <v>4292910</v>
      </c>
      <c r="F19" s="1409">
        <f>F10+F11</f>
        <v>0</v>
      </c>
      <c r="G19" s="1408">
        <f t="shared" si="0"/>
        <v>329502135</v>
      </c>
      <c r="H19" s="1144">
        <f>G19/(C19*1000)</f>
        <v>1.03</v>
      </c>
      <c r="I19" s="1455"/>
    </row>
    <row r="20" spans="1:8" ht="16.5" thickBot="1">
      <c r="A20" s="1140"/>
      <c r="B20" s="1140"/>
      <c r="C20" s="1140"/>
      <c r="D20" s="1140"/>
      <c r="E20" s="1140"/>
      <c r="F20" s="1140"/>
      <c r="G20" s="1140"/>
      <c r="H20" s="1140"/>
    </row>
    <row r="21" spans="1:8" ht="13.5" customHeight="1">
      <c r="A21" s="805"/>
      <c r="B21" s="806" t="s">
        <v>549</v>
      </c>
      <c r="C21" s="807">
        <f>C3+C5+C6+C8</f>
        <v>21623</v>
      </c>
      <c r="D21" s="807">
        <f>D3+D5+D6+D8</f>
        <v>16714862</v>
      </c>
      <c r="E21" s="807">
        <f>E3+E5+E6+E8</f>
        <v>121920</v>
      </c>
      <c r="F21" s="807">
        <f>F3+F5+F6+F8</f>
        <v>0</v>
      </c>
      <c r="G21" s="807">
        <f aca="true" t="shared" si="1" ref="G21:G27">SUM(D21:F21)</f>
        <v>16836782</v>
      </c>
      <c r="H21" s="808">
        <f>G21/(C21*1000)</f>
        <v>0.78</v>
      </c>
    </row>
    <row r="22" spans="1:8" ht="15.75">
      <c r="A22" s="809"/>
      <c r="B22" s="810" t="s">
        <v>550</v>
      </c>
      <c r="C22" s="811">
        <f>C4+C7+C9</f>
        <v>0</v>
      </c>
      <c r="D22" s="811">
        <f>D4+D7+D9</f>
        <v>0</v>
      </c>
      <c r="E22" s="811">
        <f>E4+E7+E9</f>
        <v>0</v>
      </c>
      <c r="F22" s="811">
        <f>F4+F7+F9</f>
        <v>0</v>
      </c>
      <c r="G22" s="811">
        <f t="shared" si="1"/>
        <v>0</v>
      </c>
      <c r="H22" s="812"/>
    </row>
    <row r="23" spans="1:8" ht="15.75">
      <c r="A23" s="809"/>
      <c r="B23" s="810" t="s">
        <v>551</v>
      </c>
      <c r="C23" s="811">
        <f aca="true" t="shared" si="2" ref="C23:F24">+C14+C17</f>
        <v>297911</v>
      </c>
      <c r="D23" s="811">
        <f t="shared" si="2"/>
        <v>307427598</v>
      </c>
      <c r="E23" s="811">
        <f t="shared" si="2"/>
        <v>4170990</v>
      </c>
      <c r="F23" s="811">
        <f t="shared" si="2"/>
        <v>0</v>
      </c>
      <c r="G23" s="811">
        <f t="shared" si="1"/>
        <v>311598588</v>
      </c>
      <c r="H23" s="812">
        <f>G23/(C23*1000)</f>
        <v>1.05</v>
      </c>
    </row>
    <row r="24" spans="1:8" ht="16.5" thickBot="1">
      <c r="A24" s="813"/>
      <c r="B24" s="814" t="s">
        <v>552</v>
      </c>
      <c r="C24" s="815">
        <f t="shared" si="2"/>
        <v>445</v>
      </c>
      <c r="D24" s="815">
        <f t="shared" si="2"/>
        <v>1066765</v>
      </c>
      <c r="E24" s="815">
        <f t="shared" si="2"/>
        <v>0</v>
      </c>
      <c r="F24" s="815">
        <f t="shared" si="2"/>
        <v>0</v>
      </c>
      <c r="G24" s="1175">
        <f t="shared" si="1"/>
        <v>1066765</v>
      </c>
      <c r="H24" s="812">
        <f>G24/C24</f>
        <v>2397.22</v>
      </c>
    </row>
    <row r="25" spans="1:8" ht="15.75">
      <c r="A25" s="817"/>
      <c r="B25" s="818" t="s">
        <v>553</v>
      </c>
      <c r="C25" s="819">
        <f aca="true" t="shared" si="3" ref="C25:F26">C21+C23</f>
        <v>319534</v>
      </c>
      <c r="D25" s="819">
        <f t="shared" si="3"/>
        <v>324142460</v>
      </c>
      <c r="E25" s="819">
        <f t="shared" si="3"/>
        <v>4292910</v>
      </c>
      <c r="F25" s="818">
        <f t="shared" si="3"/>
        <v>0</v>
      </c>
      <c r="G25" s="819">
        <f t="shared" si="1"/>
        <v>328435370</v>
      </c>
      <c r="H25" s="820">
        <f>G25/(C25*1000)</f>
        <v>1.03</v>
      </c>
    </row>
    <row r="26" spans="1:8" ht="16.5" thickBot="1">
      <c r="A26" s="821"/>
      <c r="B26" s="822" t="s">
        <v>554</v>
      </c>
      <c r="C26" s="823">
        <f t="shared" si="3"/>
        <v>445</v>
      </c>
      <c r="D26" s="823">
        <f t="shared" si="3"/>
        <v>1066765</v>
      </c>
      <c r="E26" s="823">
        <f t="shared" si="3"/>
        <v>0</v>
      </c>
      <c r="F26" s="822">
        <f t="shared" si="3"/>
        <v>0</v>
      </c>
      <c r="G26" s="823">
        <f t="shared" si="1"/>
        <v>1066765</v>
      </c>
      <c r="H26" s="824">
        <f>G26/(C26*1000)</f>
        <v>2.4</v>
      </c>
    </row>
    <row r="27" spans="1:8" ht="16.5" thickBot="1">
      <c r="A27" s="825"/>
      <c r="B27" s="826" t="s">
        <v>555</v>
      </c>
      <c r="C27" s="827">
        <f>C25+C26</f>
        <v>319979</v>
      </c>
      <c r="D27" s="827">
        <f>D25+D26</f>
        <v>325209225</v>
      </c>
      <c r="E27" s="827">
        <f>E25+E26</f>
        <v>4292910</v>
      </c>
      <c r="F27" s="826">
        <f>F25+F26</f>
        <v>0</v>
      </c>
      <c r="G27" s="827">
        <f t="shared" si="1"/>
        <v>329502135</v>
      </c>
      <c r="H27" s="828">
        <f>G27/(C27*1000)</f>
        <v>1.03</v>
      </c>
    </row>
    <row r="28" ht="16.5" thickBot="1"/>
    <row r="29" spans="1:8" ht="13.5" customHeight="1">
      <c r="A29" s="1904" t="s">
        <v>523</v>
      </c>
      <c r="B29" s="1906" t="s">
        <v>1195</v>
      </c>
      <c r="C29" s="1854" t="s">
        <v>1065</v>
      </c>
      <c r="D29" s="1851" t="s">
        <v>1050</v>
      </c>
      <c r="E29" s="1852"/>
      <c r="F29" s="1852"/>
      <c r="G29" s="1853"/>
      <c r="H29" s="1848" t="s">
        <v>1051</v>
      </c>
    </row>
    <row r="30" spans="1:9" ht="48" thickBot="1">
      <c r="A30" s="1905"/>
      <c r="B30" s="1907"/>
      <c r="C30" s="1855"/>
      <c r="D30" s="1136" t="s">
        <v>287</v>
      </c>
      <c r="E30" s="1136" t="s">
        <v>795</v>
      </c>
      <c r="F30" s="1136" t="s">
        <v>796</v>
      </c>
      <c r="G30" s="1136" t="s">
        <v>65</v>
      </c>
      <c r="H30" s="1849"/>
      <c r="I30" s="1454"/>
    </row>
    <row r="31" spans="1:9" s="1386" customFormat="1" ht="24.75" customHeight="1">
      <c r="A31" s="1381" t="s">
        <v>104</v>
      </c>
      <c r="B31" s="1382" t="s">
        <v>105</v>
      </c>
      <c r="C31" s="1383">
        <v>165844</v>
      </c>
      <c r="D31" s="1383">
        <v>182289268</v>
      </c>
      <c r="E31" s="1383">
        <v>3050000</v>
      </c>
      <c r="F31" s="1383"/>
      <c r="G31" s="1383">
        <f aca="true" t="shared" si="4" ref="G31:G41">SUM(D31:F31)</f>
        <v>185339268</v>
      </c>
      <c r="H31" s="1384">
        <f>G31/(C31*1000)</f>
        <v>1.12</v>
      </c>
      <c r="I31" s="1455"/>
    </row>
    <row r="32" spans="1:9" s="1386" customFormat="1" ht="31.5">
      <c r="A32" s="1387" t="s">
        <v>106</v>
      </c>
      <c r="B32" s="1410" t="s">
        <v>107</v>
      </c>
      <c r="C32" s="1392">
        <v>48032</v>
      </c>
      <c r="D32" s="1392">
        <v>44285197</v>
      </c>
      <c r="E32" s="1392">
        <v>1120990</v>
      </c>
      <c r="F32" s="1392"/>
      <c r="G32" s="1392">
        <f t="shared" si="4"/>
        <v>45406187</v>
      </c>
      <c r="H32" s="1393">
        <f>G32/(C32*1000)</f>
        <v>0.95</v>
      </c>
      <c r="I32" s="1455"/>
    </row>
    <row r="33" spans="1:9" s="1386" customFormat="1" ht="24.75" customHeight="1">
      <c r="A33" s="1387" t="s">
        <v>108</v>
      </c>
      <c r="B33" s="1391" t="s">
        <v>109</v>
      </c>
      <c r="C33" s="1392">
        <v>105658</v>
      </c>
      <c r="D33" s="1392">
        <v>97567995</v>
      </c>
      <c r="E33" s="1392">
        <v>121920</v>
      </c>
      <c r="F33" s="1392"/>
      <c r="G33" s="1392">
        <f t="shared" si="4"/>
        <v>97689915</v>
      </c>
      <c r="H33" s="1393">
        <f>G33/(C33*1000)</f>
        <v>0.92</v>
      </c>
      <c r="I33" s="1455"/>
    </row>
    <row r="34" spans="1:9" s="1386" customFormat="1" ht="24.75" customHeight="1">
      <c r="A34" s="1387" t="s">
        <v>110</v>
      </c>
      <c r="B34" s="1391" t="s">
        <v>111</v>
      </c>
      <c r="C34" s="1392"/>
      <c r="D34" s="1392"/>
      <c r="E34" s="1392"/>
      <c r="F34" s="1392"/>
      <c r="G34" s="1392">
        <f t="shared" si="4"/>
        <v>0</v>
      </c>
      <c r="H34" s="1393"/>
      <c r="I34" s="1455"/>
    </row>
    <row r="35" spans="1:9" s="1386" customFormat="1" ht="24.75" customHeight="1">
      <c r="A35" s="1387" t="s">
        <v>112</v>
      </c>
      <c r="B35" s="1391" t="s">
        <v>113</v>
      </c>
      <c r="C35" s="1392"/>
      <c r="D35" s="1392"/>
      <c r="E35" s="1392"/>
      <c r="F35" s="1392"/>
      <c r="G35" s="1392">
        <f t="shared" si="4"/>
        <v>0</v>
      </c>
      <c r="H35" s="1393"/>
      <c r="I35" s="1455"/>
    </row>
    <row r="36" spans="1:9" s="1386" customFormat="1" ht="24.75" customHeight="1">
      <c r="A36" s="1387" t="s">
        <v>548</v>
      </c>
      <c r="B36" s="1391" t="s">
        <v>121</v>
      </c>
      <c r="C36" s="1392">
        <v>445</v>
      </c>
      <c r="D36" s="1392">
        <v>1066765</v>
      </c>
      <c r="E36" s="1392"/>
      <c r="F36" s="1392"/>
      <c r="G36" s="1392">
        <f t="shared" si="4"/>
        <v>1066765</v>
      </c>
      <c r="H36" s="1393">
        <f>G36/(C36*1000)</f>
        <v>2.4</v>
      </c>
      <c r="I36" s="1455"/>
    </row>
    <row r="37" spans="1:9" s="1386" customFormat="1" ht="24.75" customHeight="1">
      <c r="A37" s="1387" t="s">
        <v>122</v>
      </c>
      <c r="B37" s="1391" t="s">
        <v>123</v>
      </c>
      <c r="C37" s="1392"/>
      <c r="D37" s="1392"/>
      <c r="E37" s="1392"/>
      <c r="F37" s="1392"/>
      <c r="G37" s="1392">
        <f t="shared" si="4"/>
        <v>0</v>
      </c>
      <c r="H37" s="1393"/>
      <c r="I37" s="1455"/>
    </row>
    <row r="38" spans="1:9" s="1386" customFormat="1" ht="24.75" customHeight="1" thickBot="1">
      <c r="A38" s="1394" t="s">
        <v>124</v>
      </c>
      <c r="B38" s="1395" t="s">
        <v>125</v>
      </c>
      <c r="C38" s="1396"/>
      <c r="D38" s="1396"/>
      <c r="E38" s="1396"/>
      <c r="F38" s="1396"/>
      <c r="G38" s="1396">
        <f t="shared" si="4"/>
        <v>0</v>
      </c>
      <c r="H38" s="1411"/>
      <c r="I38" s="1455"/>
    </row>
    <row r="39" spans="1:9" ht="16.5" thickBot="1">
      <c r="A39" s="782" t="s">
        <v>138</v>
      </c>
      <c r="B39" s="783" t="s">
        <v>139</v>
      </c>
      <c r="C39" s="784">
        <f>C31+C32+C33+C34+C35+C36+C37+C38</f>
        <v>319979</v>
      </c>
      <c r="D39" s="784">
        <f>D31+D32+D33+D34+D35+D36+D37+D38</f>
        <v>325209225</v>
      </c>
      <c r="E39" s="784">
        <f>E31+E32+E33+E34+E35+E36+E37+E38</f>
        <v>4292910</v>
      </c>
      <c r="F39" s="784">
        <f>F31+F32+F33+F34+F35+F36+F37+F38</f>
        <v>0</v>
      </c>
      <c r="G39" s="1139">
        <f t="shared" si="4"/>
        <v>329502135</v>
      </c>
      <c r="H39" s="786">
        <f>G39/(C39*1000)</f>
        <v>1.03</v>
      </c>
      <c r="I39" s="1454"/>
    </row>
    <row r="40" spans="1:9" s="1386" customFormat="1" ht="24.75" customHeight="1" thickBot="1">
      <c r="A40" s="1437" t="s">
        <v>129</v>
      </c>
      <c r="B40" s="1438" t="s">
        <v>130</v>
      </c>
      <c r="C40" s="1439"/>
      <c r="D40" s="1439"/>
      <c r="E40" s="1439"/>
      <c r="F40" s="1439"/>
      <c r="G40" s="1439">
        <f t="shared" si="4"/>
        <v>0</v>
      </c>
      <c r="H40" s="1440"/>
      <c r="I40" s="1455"/>
    </row>
    <row r="41" spans="1:9" s="1449" customFormat="1" ht="24.75" customHeight="1" thickBot="1">
      <c r="A41" s="1141"/>
      <c r="B41" s="1142" t="s">
        <v>77</v>
      </c>
      <c r="C41" s="1408">
        <f>C40+C39</f>
        <v>319979</v>
      </c>
      <c r="D41" s="1408">
        <f>D40+D39</f>
        <v>325209225</v>
      </c>
      <c r="E41" s="1408">
        <f>E40+E39</f>
        <v>4292910</v>
      </c>
      <c r="F41" s="1409">
        <f>F40+F39</f>
        <v>0</v>
      </c>
      <c r="G41" s="1408">
        <f t="shared" si="4"/>
        <v>329502135</v>
      </c>
      <c r="H41" s="1144">
        <f>G41/(C41*1000)</f>
        <v>1.03</v>
      </c>
      <c r="I41" s="1459"/>
    </row>
    <row r="42" spans="1:8" ht="16.5" thickBot="1">
      <c r="A42" s="800"/>
      <c r="B42" s="801"/>
      <c r="C42" s="802"/>
      <c r="D42" s="802"/>
      <c r="E42" s="802"/>
      <c r="F42" s="803"/>
      <c r="G42" s="803"/>
      <c r="H42" s="804"/>
    </row>
    <row r="43" spans="1:8" ht="15.75">
      <c r="A43" s="805"/>
      <c r="B43" s="806" t="s">
        <v>158</v>
      </c>
      <c r="C43" s="807">
        <f>C31+C32+C33+C34+C35</f>
        <v>319534</v>
      </c>
      <c r="D43" s="807">
        <f>D31+D32+D33+D34+D35</f>
        <v>324142460</v>
      </c>
      <c r="E43" s="807">
        <f>E31+E32+E33+E34+E35</f>
        <v>4292910</v>
      </c>
      <c r="F43" s="807">
        <f>F31+F32+F33+F34+F35</f>
        <v>0</v>
      </c>
      <c r="G43" s="807">
        <f>SUM(D43:F43)</f>
        <v>328435370</v>
      </c>
      <c r="H43" s="808">
        <f>G43/(C43*1000)</f>
        <v>1.03</v>
      </c>
    </row>
    <row r="44" spans="1:8" ht="15.75">
      <c r="A44" s="809"/>
      <c r="B44" s="810" t="s">
        <v>159</v>
      </c>
      <c r="C44" s="811">
        <f>C36+C37+C38</f>
        <v>445</v>
      </c>
      <c r="D44" s="811">
        <f>D36+D37+D38</f>
        <v>1066765</v>
      </c>
      <c r="E44" s="811">
        <f>E36+E37+E38</f>
        <v>0</v>
      </c>
      <c r="F44" s="811">
        <f>F36+F37+F38</f>
        <v>0</v>
      </c>
      <c r="G44" s="811">
        <f>SUM(D44:F44)</f>
        <v>1066765</v>
      </c>
      <c r="H44" s="812">
        <f>G44/(C44*1000)</f>
        <v>2.4</v>
      </c>
    </row>
    <row r="45" spans="1:8" ht="15.75">
      <c r="A45" s="809"/>
      <c r="B45" s="810" t="s">
        <v>160</v>
      </c>
      <c r="C45" s="811">
        <f>C40</f>
        <v>0</v>
      </c>
      <c r="D45" s="811">
        <f>D40</f>
        <v>0</v>
      </c>
      <c r="E45" s="811">
        <f>E40</f>
        <v>0</v>
      </c>
      <c r="F45" s="811">
        <f>F40</f>
        <v>0</v>
      </c>
      <c r="G45" s="811">
        <f>SUM(D45:F45)</f>
        <v>0</v>
      </c>
      <c r="H45" s="812"/>
    </row>
    <row r="46" spans="1:8" ht="16.5" thickBot="1">
      <c r="A46" s="813"/>
      <c r="B46" s="814" t="s">
        <v>161</v>
      </c>
      <c r="C46" s="815">
        <f>C40</f>
        <v>0</v>
      </c>
      <c r="D46" s="815">
        <f>D40</f>
        <v>0</v>
      </c>
      <c r="E46" s="815">
        <f>E40</f>
        <v>0</v>
      </c>
      <c r="F46" s="815">
        <f>F40</f>
        <v>0</v>
      </c>
      <c r="G46" s="815">
        <f>G40</f>
        <v>0</v>
      </c>
      <c r="H46" s="816"/>
    </row>
    <row r="47" spans="1:8" ht="15.75">
      <c r="A47" s="817"/>
      <c r="B47" s="818" t="s">
        <v>162</v>
      </c>
      <c r="C47" s="819">
        <f aca="true" t="shared" si="5" ref="C47:F48">C43+C45</f>
        <v>319534</v>
      </c>
      <c r="D47" s="819">
        <f t="shared" si="5"/>
        <v>324142460</v>
      </c>
      <c r="E47" s="819">
        <f t="shared" si="5"/>
        <v>4292910</v>
      </c>
      <c r="F47" s="818">
        <f t="shared" si="5"/>
        <v>0</v>
      </c>
      <c r="G47" s="819">
        <f>SUM(D47:F47)</f>
        <v>328435370</v>
      </c>
      <c r="H47" s="820">
        <f>G47/(C47*1000)</f>
        <v>1.03</v>
      </c>
    </row>
    <row r="48" spans="1:8" ht="16.5" thickBot="1">
      <c r="A48" s="821"/>
      <c r="B48" s="822" t="s">
        <v>163</v>
      </c>
      <c r="C48" s="823">
        <f t="shared" si="5"/>
        <v>445</v>
      </c>
      <c r="D48" s="823">
        <f t="shared" si="5"/>
        <v>1066765</v>
      </c>
      <c r="E48" s="823">
        <f t="shared" si="5"/>
        <v>0</v>
      </c>
      <c r="F48" s="822">
        <f t="shared" si="5"/>
        <v>0</v>
      </c>
      <c r="G48" s="823">
        <f>SUM(D48:F48)</f>
        <v>1066765</v>
      </c>
      <c r="H48" s="824">
        <f>G48/(C48*1000)</f>
        <v>2.4</v>
      </c>
    </row>
    <row r="49" spans="1:8" ht="16.5" thickBot="1">
      <c r="A49" s="825"/>
      <c r="B49" s="826" t="s">
        <v>164</v>
      </c>
      <c r="C49" s="827">
        <f>C47+C48</f>
        <v>319979</v>
      </c>
      <c r="D49" s="827">
        <f>D47+D48</f>
        <v>325209225</v>
      </c>
      <c r="E49" s="827">
        <f>E47+E48</f>
        <v>4292910</v>
      </c>
      <c r="F49" s="826">
        <f>F47+F48</f>
        <v>0</v>
      </c>
      <c r="G49" s="827">
        <f>SUM(D49:F49)</f>
        <v>329502135</v>
      </c>
      <c r="H49" s="828">
        <f>G49/(C49*1000)</f>
        <v>1.03</v>
      </c>
    </row>
  </sheetData>
  <sheetProtection/>
  <mergeCells count="10">
    <mergeCell ref="H1:H2"/>
    <mergeCell ref="A29:A30"/>
    <mergeCell ref="B29:B30"/>
    <mergeCell ref="C29:C30"/>
    <mergeCell ref="D29:G29"/>
    <mergeCell ref="H29:H30"/>
    <mergeCell ref="A1:A2"/>
    <mergeCell ref="D1:G1"/>
    <mergeCell ref="C1:C2"/>
    <mergeCell ref="B1:B2"/>
  </mergeCells>
  <printOptions horizontalCentered="1"/>
  <pageMargins left="0.3937007874015748" right="0.3937007874015748" top="0.7874015748031497" bottom="0.7874015748031497" header="0.3937007874015748" footer="0.3937007874015748"/>
  <pageSetup fitToHeight="2" orientation="landscape" paperSize="9" scale="91" r:id="rId1"/>
  <headerFooter alignWithMargins="0">
    <oddHeader>&amp;C&amp;"Times New Roman,Félkövér"PESTERZSÉBETI GÉZENGÚZ ÓVODA 
 2017. ÉVI BEVÉTELEI ÉS KIADÁSAI 
&amp;R&amp;"Times New Roman,Félkövér"4.11. sz. melléklet&amp;"MS Sans Serif,Normál"
</oddHeader>
  </headerFooter>
  <rowBreaks count="1" manualBreakCount="1">
    <brk id="28" max="7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 codeName="Munka71">
    <pageSetUpPr fitToPage="1"/>
  </sheetPr>
  <dimension ref="A1:H14"/>
  <sheetViews>
    <sheetView zoomScale="80" zoomScaleNormal="80" zoomScalePageLayoutView="0" workbookViewId="0" topLeftCell="A1">
      <pane ySplit="1" topLeftCell="A2" activePane="bottomLeft" state="frozen"/>
      <selection pane="topLeft" activeCell="D16" sqref="D16"/>
      <selection pane="bottomLeft" activeCell="F22" sqref="F22"/>
    </sheetView>
  </sheetViews>
  <sheetFormatPr defaultColWidth="9.140625" defaultRowHeight="12.75"/>
  <cols>
    <col min="1" max="1" width="9.140625" style="694" customWidth="1"/>
    <col min="2" max="2" width="65.140625" style="694" customWidth="1"/>
    <col min="3" max="8" width="18.28125" style="694" customWidth="1"/>
    <col min="9" max="16384" width="9.140625" style="694" customWidth="1"/>
  </cols>
  <sheetData>
    <row r="1" spans="1:8" ht="13.5" customHeight="1">
      <c r="A1" s="1928" t="s">
        <v>523</v>
      </c>
      <c r="B1" s="1906" t="s">
        <v>509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8" ht="48" thickBot="1">
      <c r="A2" s="1929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8" ht="15.75">
      <c r="A3" s="707" t="s">
        <v>213</v>
      </c>
      <c r="B3" s="708" t="s">
        <v>214</v>
      </c>
      <c r="C3" s="709"/>
      <c r="D3" s="709"/>
      <c r="E3" s="708"/>
      <c r="F3" s="708"/>
      <c r="G3" s="709">
        <f>SUM(D3:F3)</f>
        <v>0</v>
      </c>
      <c r="H3" s="721"/>
    </row>
    <row r="4" spans="1:8" ht="15" customHeight="1">
      <c r="A4" s="714" t="s">
        <v>215</v>
      </c>
      <c r="B4" s="691" t="s">
        <v>216</v>
      </c>
      <c r="C4" s="695"/>
      <c r="D4" s="695"/>
      <c r="E4" s="695"/>
      <c r="F4" s="695"/>
      <c r="G4" s="695">
        <f>SUM(D4:F4)</f>
        <v>0</v>
      </c>
      <c r="H4" s="1427"/>
    </row>
    <row r="5" spans="1:8" ht="15" customHeight="1">
      <c r="A5" s="714" t="s">
        <v>534</v>
      </c>
      <c r="B5" s="691" t="s">
        <v>535</v>
      </c>
      <c r="C5" s="700">
        <f>SUM(C6:C6)</f>
        <v>350</v>
      </c>
      <c r="D5" s="695">
        <f>SUM(D6:D6)</f>
        <v>0</v>
      </c>
      <c r="E5" s="1428">
        <f>SUM(E6:E6)</f>
        <v>0</v>
      </c>
      <c r="F5" s="1428">
        <f>SUM(F6:F6)</f>
        <v>0</v>
      </c>
      <c r="G5" s="700">
        <f aca="true" t="shared" si="0" ref="G5:G14">SUM(D5:F5)</f>
        <v>0</v>
      </c>
      <c r="H5" s="701"/>
    </row>
    <row r="6" spans="1:8" ht="15" customHeight="1">
      <c r="A6" s="715"/>
      <c r="B6" s="690" t="s">
        <v>556</v>
      </c>
      <c r="C6" s="696">
        <v>350</v>
      </c>
      <c r="D6" s="696"/>
      <c r="E6" s="697"/>
      <c r="F6" s="697"/>
      <c r="G6" s="696">
        <f t="shared" si="0"/>
        <v>0</v>
      </c>
      <c r="H6" s="698"/>
    </row>
    <row r="7" spans="1:8" ht="15" customHeight="1">
      <c r="A7" s="714" t="s">
        <v>536</v>
      </c>
      <c r="B7" s="691" t="s">
        <v>537</v>
      </c>
      <c r="C7" s="695">
        <f>C8+C10</f>
        <v>0</v>
      </c>
      <c r="D7" s="695">
        <f>D8+D10</f>
        <v>839973</v>
      </c>
      <c r="E7" s="695">
        <f>E8+E10</f>
        <v>0</v>
      </c>
      <c r="F7" s="695">
        <f>F8+F10</f>
        <v>0</v>
      </c>
      <c r="G7" s="702">
        <f t="shared" si="0"/>
        <v>839973</v>
      </c>
      <c r="H7" s="701"/>
    </row>
    <row r="8" spans="1:8" ht="15" customHeight="1">
      <c r="A8" s="715"/>
      <c r="B8" s="1429" t="s">
        <v>538</v>
      </c>
      <c r="C8" s="1430">
        <f>SUM(C9:C9)</f>
        <v>0</v>
      </c>
      <c r="D8" s="1430">
        <f>SUM(D9:D9)</f>
        <v>839973</v>
      </c>
      <c r="E8" s="1430">
        <f>SUM(E9:E9)</f>
        <v>0</v>
      </c>
      <c r="F8" s="1430">
        <f>SUM(F9:F9)</f>
        <v>0</v>
      </c>
      <c r="G8" s="1431">
        <f t="shared" si="0"/>
        <v>839973</v>
      </c>
      <c r="H8" s="1432"/>
    </row>
    <row r="9" spans="1:8" ht="15" customHeight="1">
      <c r="A9" s="715"/>
      <c r="B9" s="716" t="s">
        <v>557</v>
      </c>
      <c r="C9" s="696"/>
      <c r="D9" s="696">
        <v>839973</v>
      </c>
      <c r="E9" s="696"/>
      <c r="F9" s="696"/>
      <c r="G9" s="703">
        <f t="shared" si="0"/>
        <v>839973</v>
      </c>
      <c r="H9" s="698"/>
    </row>
    <row r="10" spans="1:8" ht="15.75">
      <c r="A10" s="715"/>
      <c r="B10" s="1429" t="s">
        <v>540</v>
      </c>
      <c r="C10" s="696"/>
      <c r="D10" s="696"/>
      <c r="E10" s="696"/>
      <c r="F10" s="696"/>
      <c r="G10" s="717">
        <f t="shared" si="0"/>
        <v>0</v>
      </c>
      <c r="H10" s="699"/>
    </row>
    <row r="11" spans="1:8" ht="15.75">
      <c r="A11" s="714" t="s">
        <v>541</v>
      </c>
      <c r="B11" s="691" t="s">
        <v>542</v>
      </c>
      <c r="C11" s="700"/>
      <c r="D11" s="700"/>
      <c r="E11" s="700"/>
      <c r="F11" s="700"/>
      <c r="G11" s="700">
        <f t="shared" si="0"/>
        <v>0</v>
      </c>
      <c r="H11" s="1434"/>
    </row>
    <row r="12" spans="1:8" ht="15.75">
      <c r="A12" s="714" t="s">
        <v>543</v>
      </c>
      <c r="B12" s="691" t="s">
        <v>546</v>
      </c>
      <c r="C12" s="700"/>
      <c r="D12" s="700"/>
      <c r="E12" s="700"/>
      <c r="F12" s="700"/>
      <c r="G12" s="700">
        <f t="shared" si="0"/>
        <v>0</v>
      </c>
      <c r="H12" s="1434"/>
    </row>
    <row r="13" spans="1:8" ht="16.5" thickBot="1">
      <c r="A13" s="718" t="s">
        <v>544</v>
      </c>
      <c r="B13" s="692" t="s">
        <v>545</v>
      </c>
      <c r="C13" s="704">
        <f>(C3+C4+C5+C7)*27%</f>
        <v>95</v>
      </c>
      <c r="D13" s="704">
        <f>((D3+D4+D5+D7)*27%)-1</f>
        <v>226792</v>
      </c>
      <c r="E13" s="704">
        <f>(E3+E4+E5+E7)*27%</f>
        <v>0</v>
      </c>
      <c r="F13" s="704">
        <f>(F3+F4+F5+F7)*27%</f>
        <v>0</v>
      </c>
      <c r="G13" s="704">
        <f t="shared" si="0"/>
        <v>226792</v>
      </c>
      <c r="H13" s="705">
        <f>G13/(C13*1000)</f>
        <v>2.39</v>
      </c>
    </row>
    <row r="14" spans="1:8" s="1343" customFormat="1" ht="35.25" customHeight="1" thickBot="1">
      <c r="A14" s="719"/>
      <c r="B14" s="693" t="s">
        <v>547</v>
      </c>
      <c r="C14" s="693">
        <f>C3+C4+C5+C7+C11+C12+C13</f>
        <v>445</v>
      </c>
      <c r="D14" s="693">
        <f>D3+D4+D5+D7+D11+D12+D13</f>
        <v>1066765</v>
      </c>
      <c r="E14" s="693">
        <f>E3+E4+E5+E7+E11+E12+E13</f>
        <v>0</v>
      </c>
      <c r="F14" s="693">
        <f>F3+F4+F5+F7+F11+F12+F13</f>
        <v>0</v>
      </c>
      <c r="G14" s="693">
        <f t="shared" si="0"/>
        <v>1066765</v>
      </c>
      <c r="H14" s="706">
        <f>G14/(C14*1000)</f>
        <v>2.4</v>
      </c>
    </row>
  </sheetData>
  <sheetProtection/>
  <mergeCells count="5">
    <mergeCell ref="A1:A2"/>
    <mergeCell ref="H1:H2"/>
    <mergeCell ref="C1:C2"/>
    <mergeCell ref="B1:B2"/>
    <mergeCell ref="D1:G1"/>
  </mergeCells>
  <printOptions horizontalCentered="1"/>
  <pageMargins left="0.5905511811023623" right="0.5905511811023623" top="0.984251968503937" bottom="1.1811023622047245" header="0.3937007874015748" footer="0.3937007874015748"/>
  <pageSetup fitToHeight="1" fitToWidth="1" orientation="landscape" paperSize="9" scale="74" r:id="rId1"/>
  <headerFooter alignWithMargins="0">
    <oddHeader>&amp;C&amp;"Times New Roman,Normál"PESTERZSÉBETI GÉZENGÚZ ÓVODA
2017. ÉVI BERUHÁZÁSI KIADÁSAI 
&amp;R&amp;"Times New Roman,Normál"4.12. sz. melléklet&amp;"MS Sans Serif,Normál"
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Munka72"/>
  <dimension ref="A1:I49"/>
  <sheetViews>
    <sheetView zoomScalePageLayoutView="0" workbookViewId="0" topLeftCell="A1">
      <pane xSplit="2" ySplit="2" topLeftCell="C21" activePane="bottomRight" state="frozen"/>
      <selection pane="topLeft" activeCell="H18" sqref="H18:H20"/>
      <selection pane="topRight" activeCell="H18" sqref="H18:H20"/>
      <selection pane="bottomLeft" activeCell="H18" sqref="H18:H20"/>
      <selection pane="bottomRight" activeCell="I33" sqref="I33"/>
    </sheetView>
  </sheetViews>
  <sheetFormatPr defaultColWidth="9.140625" defaultRowHeight="12.75"/>
  <cols>
    <col min="1" max="1" width="9.140625" style="1147" customWidth="1"/>
    <col min="2" max="2" width="52.28125" style="1147" customWidth="1"/>
    <col min="3" max="3" width="14.28125" style="1146" customWidth="1"/>
    <col min="4" max="4" width="15.421875" style="1146" bestFit="1" customWidth="1"/>
    <col min="5" max="5" width="15.8515625" style="1146" customWidth="1"/>
    <col min="6" max="6" width="17.28125" style="1146" customWidth="1"/>
    <col min="7" max="7" width="15.57421875" style="1146" customWidth="1"/>
    <col min="8" max="8" width="14.28125" style="1147" customWidth="1"/>
    <col min="9" max="9" width="14.140625" style="1146" customWidth="1"/>
    <col min="10" max="10" width="12.421875" style="1147" customWidth="1"/>
    <col min="11" max="11" width="10.00390625" style="1147" customWidth="1"/>
    <col min="12" max="16384" width="9.140625" style="1147" customWidth="1"/>
  </cols>
  <sheetData>
    <row r="1" spans="1:8" ht="13.5" customHeight="1">
      <c r="A1" s="1844" t="s">
        <v>523</v>
      </c>
      <c r="B1" s="1906" t="s">
        <v>1196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9" ht="48" thickBot="1">
      <c r="A2" s="1845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  <c r="I2" s="1454"/>
    </row>
    <row r="3" spans="1:9" s="1386" customFormat="1" ht="31.5">
      <c r="A3" s="1381" t="s">
        <v>185</v>
      </c>
      <c r="B3" s="1410" t="s">
        <v>186</v>
      </c>
      <c r="C3" s="1383"/>
      <c r="D3" s="1383"/>
      <c r="E3" s="1383"/>
      <c r="F3" s="1383"/>
      <c r="G3" s="1383">
        <f>SUM(D3:F3)</f>
        <v>0</v>
      </c>
      <c r="H3" s="1384"/>
      <c r="I3" s="1455"/>
    </row>
    <row r="4" spans="1:9" s="1386" customFormat="1" ht="31.5">
      <c r="A4" s="1387" t="s">
        <v>187</v>
      </c>
      <c r="B4" s="1410" t="s">
        <v>514</v>
      </c>
      <c r="C4" s="1392"/>
      <c r="D4" s="1392"/>
      <c r="E4" s="1392"/>
      <c r="F4" s="1392"/>
      <c r="G4" s="1392">
        <f>SUM(D4:F4)</f>
        <v>0</v>
      </c>
      <c r="H4" s="1393"/>
      <c r="I4" s="1455"/>
    </row>
    <row r="5" spans="1:9" s="1386" customFormat="1" ht="19.5" customHeight="1">
      <c r="A5" s="1387" t="s">
        <v>193</v>
      </c>
      <c r="B5" s="1391" t="s">
        <v>148</v>
      </c>
      <c r="C5" s="1392"/>
      <c r="D5" s="1392"/>
      <c r="E5" s="1392"/>
      <c r="F5" s="1392"/>
      <c r="G5" s="1392">
        <f>SUM(D5:F5)</f>
        <v>0</v>
      </c>
      <c r="H5" s="1393"/>
      <c r="I5" s="1455"/>
    </row>
    <row r="6" spans="1:9" s="1386" customFormat="1" ht="19.5" customHeight="1">
      <c r="A6" s="1387" t="s">
        <v>469</v>
      </c>
      <c r="B6" s="1391" t="s">
        <v>664</v>
      </c>
      <c r="C6" s="1392">
        <v>3540</v>
      </c>
      <c r="D6" s="1392">
        <v>3775645</v>
      </c>
      <c r="E6" s="1392">
        <v>102473</v>
      </c>
      <c r="F6" s="1392"/>
      <c r="G6" s="1392">
        <f>SUM(D6:F6)</f>
        <v>3878118</v>
      </c>
      <c r="H6" s="1393">
        <f>G6/(C6*1000)</f>
        <v>1.1</v>
      </c>
      <c r="I6" s="1455"/>
    </row>
    <row r="7" spans="1:9" s="1386" customFormat="1" ht="19.5" customHeight="1">
      <c r="A7" s="1387" t="s">
        <v>486</v>
      </c>
      <c r="B7" s="1391" t="s">
        <v>663</v>
      </c>
      <c r="C7" s="1392"/>
      <c r="D7" s="1392"/>
      <c r="E7" s="1392"/>
      <c r="F7" s="1392"/>
      <c r="G7" s="1392"/>
      <c r="H7" s="1393"/>
      <c r="I7" s="1455"/>
    </row>
    <row r="8" spans="1:9" s="1386" customFormat="1" ht="19.5" customHeight="1">
      <c r="A8" s="1387" t="s">
        <v>471</v>
      </c>
      <c r="B8" s="1391" t="s">
        <v>475</v>
      </c>
      <c r="C8" s="1392"/>
      <c r="D8" s="1392"/>
      <c r="E8" s="1392"/>
      <c r="F8" s="1392"/>
      <c r="G8" s="1392"/>
      <c r="H8" s="1393"/>
      <c r="I8" s="1455"/>
    </row>
    <row r="9" spans="1:9" s="1386" customFormat="1" ht="19.5" customHeight="1" thickBot="1">
      <c r="A9" s="1394" t="s">
        <v>473</v>
      </c>
      <c r="B9" s="1395" t="s">
        <v>474</v>
      </c>
      <c r="C9" s="1396"/>
      <c r="D9" s="1396"/>
      <c r="E9" s="1396"/>
      <c r="F9" s="1396"/>
      <c r="G9" s="1396"/>
      <c r="H9" s="1397"/>
      <c r="I9" s="1455"/>
    </row>
    <row r="10" spans="1:9" s="1399" customFormat="1" ht="15" customHeight="1" thickBot="1">
      <c r="A10" s="782" t="s">
        <v>476</v>
      </c>
      <c r="B10" s="783" t="s">
        <v>286</v>
      </c>
      <c r="C10" s="784">
        <f>C3+C4+C5+C6+C7+C8+C9</f>
        <v>3540</v>
      </c>
      <c r="D10" s="784">
        <f>D3+D4+D5+D6+D7+D8+D9</f>
        <v>3775645</v>
      </c>
      <c r="E10" s="784">
        <f>E3+E4+E5+E6+E7+E8+E9</f>
        <v>102473</v>
      </c>
      <c r="F10" s="784">
        <f>F3+F4+F5+F6+F7+F8+F9</f>
        <v>0</v>
      </c>
      <c r="G10" s="1139">
        <f>SUM(D10:F10)</f>
        <v>3878118</v>
      </c>
      <c r="H10" s="786">
        <f>G10/(C10*1000)</f>
        <v>1.1</v>
      </c>
      <c r="I10" s="1398"/>
    </row>
    <row r="11" spans="1:9" s="1399" customFormat="1" ht="15" customHeight="1">
      <c r="A11" s="1381" t="s">
        <v>477</v>
      </c>
      <c r="B11" s="1382" t="s">
        <v>478</v>
      </c>
      <c r="C11" s="1383">
        <f>+C12</f>
        <v>280407</v>
      </c>
      <c r="D11" s="1383">
        <f>+D12</f>
        <v>277167468</v>
      </c>
      <c r="E11" s="1383">
        <f>+E12</f>
        <v>3902550</v>
      </c>
      <c r="F11" s="1383">
        <f>+F12</f>
        <v>0</v>
      </c>
      <c r="G11" s="1383">
        <f>+G12</f>
        <v>281070018</v>
      </c>
      <c r="H11" s="1384">
        <f>G11/(C11*1000)</f>
        <v>1</v>
      </c>
      <c r="I11" s="1398"/>
    </row>
    <row r="12" spans="1:9" s="1399" customFormat="1" ht="15" customHeight="1">
      <c r="A12" s="1400" t="s">
        <v>483</v>
      </c>
      <c r="B12" s="1401" t="s">
        <v>484</v>
      </c>
      <c r="C12" s="1402">
        <f>+C13+C16</f>
        <v>280407</v>
      </c>
      <c r="D12" s="1402">
        <f>+D13+D16</f>
        <v>277167468</v>
      </c>
      <c r="E12" s="1402">
        <f>+E13+E16</f>
        <v>3902550</v>
      </c>
      <c r="F12" s="1402">
        <f>+F13+F16</f>
        <v>0</v>
      </c>
      <c r="G12" s="1402">
        <f aca="true" t="shared" si="0" ref="G12:G19">SUM(D12:F12)</f>
        <v>281070018</v>
      </c>
      <c r="H12" s="1403">
        <f>G12/(C12*1000)</f>
        <v>1</v>
      </c>
      <c r="I12" s="1398"/>
    </row>
    <row r="13" spans="1:9" s="1399" customFormat="1" ht="15" customHeight="1">
      <c r="A13" s="1160" t="s">
        <v>479</v>
      </c>
      <c r="B13" s="1166" t="s">
        <v>480</v>
      </c>
      <c r="C13" s="1167">
        <f>SUM(C14:C15)</f>
        <v>181</v>
      </c>
      <c r="D13" s="1167">
        <f>SUM(D14:D15)</f>
        <v>407145</v>
      </c>
      <c r="E13" s="1167">
        <f>SUM(E14:E15)</f>
        <v>0</v>
      </c>
      <c r="F13" s="1167">
        <f>SUM(F14:F15)</f>
        <v>0</v>
      </c>
      <c r="G13" s="1162">
        <f>SUM(D13:F13)</f>
        <v>407145</v>
      </c>
      <c r="H13" s="1168">
        <f>G13/(C13*1000)</f>
        <v>2.25</v>
      </c>
      <c r="I13" s="1398"/>
    </row>
    <row r="14" spans="1:9" s="1399" customFormat="1" ht="15" customHeight="1">
      <c r="A14" s="809"/>
      <c r="B14" s="1148" t="s">
        <v>241</v>
      </c>
      <c r="C14" s="811">
        <v>181</v>
      </c>
      <c r="D14" s="811">
        <v>407145</v>
      </c>
      <c r="E14" s="811"/>
      <c r="F14" s="811"/>
      <c r="G14" s="811">
        <f t="shared" si="0"/>
        <v>407145</v>
      </c>
      <c r="H14" s="1169">
        <f>G14/(C14*1000)</f>
        <v>2.25</v>
      </c>
      <c r="I14" s="1398"/>
    </row>
    <row r="15" spans="1:9" s="1399" customFormat="1" ht="15" customHeight="1">
      <c r="A15" s="809"/>
      <c r="B15" s="1148" t="s">
        <v>242</v>
      </c>
      <c r="C15" s="811"/>
      <c r="D15" s="811"/>
      <c r="E15" s="811"/>
      <c r="F15" s="811"/>
      <c r="G15" s="811">
        <f t="shared" si="0"/>
        <v>0</v>
      </c>
      <c r="H15" s="1169"/>
      <c r="I15" s="1398"/>
    </row>
    <row r="16" spans="1:9" s="1399" customFormat="1" ht="15" customHeight="1">
      <c r="A16" s="1160" t="s">
        <v>665</v>
      </c>
      <c r="B16" s="1161" t="s">
        <v>666</v>
      </c>
      <c r="C16" s="1162">
        <f>SUM(C17:C18)</f>
        <v>280226</v>
      </c>
      <c r="D16" s="1162">
        <f>SUM(D17:D18)</f>
        <v>276760323</v>
      </c>
      <c r="E16" s="1162">
        <f>SUM(E17:E18)</f>
        <v>3902550</v>
      </c>
      <c r="F16" s="1162">
        <f>SUM(F17:F18)</f>
        <v>0</v>
      </c>
      <c r="G16" s="793">
        <f>SUM(D16:F16)</f>
        <v>280662873</v>
      </c>
      <c r="H16" s="1163">
        <f>G16/(C16*1000)</f>
        <v>1</v>
      </c>
      <c r="I16" s="1398"/>
    </row>
    <row r="17" spans="1:9" s="1407" customFormat="1" ht="15" customHeight="1">
      <c r="A17" s="1171"/>
      <c r="B17" s="1172" t="s">
        <v>667</v>
      </c>
      <c r="C17" s="717">
        <v>279820</v>
      </c>
      <c r="D17" s="717">
        <v>276760323</v>
      </c>
      <c r="E17" s="717">
        <v>3902550</v>
      </c>
      <c r="F17" s="717"/>
      <c r="G17" s="797">
        <f t="shared" si="0"/>
        <v>280662873</v>
      </c>
      <c r="H17" s="1173">
        <f>G17/(C17*1000)</f>
        <v>1</v>
      </c>
      <c r="I17" s="1406"/>
    </row>
    <row r="18" spans="1:9" s="1405" customFormat="1" ht="15" customHeight="1" thickBot="1">
      <c r="A18" s="1171"/>
      <c r="B18" s="1172" t="s">
        <v>668</v>
      </c>
      <c r="C18" s="717">
        <v>406</v>
      </c>
      <c r="D18" s="717"/>
      <c r="E18" s="717"/>
      <c r="F18" s="717"/>
      <c r="G18" s="797">
        <f t="shared" si="0"/>
        <v>0</v>
      </c>
      <c r="H18" s="1173">
        <f>G18/(C18*1000)</f>
        <v>0</v>
      </c>
      <c r="I18" s="1458"/>
    </row>
    <row r="19" spans="1:9" s="1386" customFormat="1" ht="24.75" customHeight="1" thickBot="1">
      <c r="A19" s="1141"/>
      <c r="B19" s="1142" t="s">
        <v>78</v>
      </c>
      <c r="C19" s="1408">
        <f>C10+C11</f>
        <v>283947</v>
      </c>
      <c r="D19" s="1408">
        <f>D10+D11</f>
        <v>280943113</v>
      </c>
      <c r="E19" s="1408">
        <f>E10+E11</f>
        <v>4005023</v>
      </c>
      <c r="F19" s="1409">
        <f>F10+F11</f>
        <v>0</v>
      </c>
      <c r="G19" s="1408">
        <f t="shared" si="0"/>
        <v>284948136</v>
      </c>
      <c r="H19" s="1144">
        <f>G19/(C19*1000)</f>
        <v>1</v>
      </c>
      <c r="I19" s="1455"/>
    </row>
    <row r="20" spans="1:8" ht="16.5" thickBot="1">
      <c r="A20" s="1140"/>
      <c r="B20" s="1140"/>
      <c r="C20" s="1140"/>
      <c r="D20" s="1140"/>
      <c r="E20" s="1140"/>
      <c r="F20" s="1140"/>
      <c r="G20" s="1140"/>
      <c r="H20" s="1140"/>
    </row>
    <row r="21" spans="1:8" ht="13.5" customHeight="1">
      <c r="A21" s="805"/>
      <c r="B21" s="806" t="s">
        <v>549</v>
      </c>
      <c r="C21" s="807">
        <f>C3+C5+C6+C8</f>
        <v>3540</v>
      </c>
      <c r="D21" s="807">
        <f>D3+D5+D6+D8</f>
        <v>3775645</v>
      </c>
      <c r="E21" s="807">
        <f>E3+E5+E6+E8</f>
        <v>102473</v>
      </c>
      <c r="F21" s="807">
        <f>F3+F5+F6+F8</f>
        <v>0</v>
      </c>
      <c r="G21" s="807">
        <f aca="true" t="shared" si="1" ref="G21:G27">SUM(D21:F21)</f>
        <v>3878118</v>
      </c>
      <c r="H21" s="808">
        <f>G21/(C21*1000)</f>
        <v>1.1</v>
      </c>
    </row>
    <row r="22" spans="1:8" ht="15.75">
      <c r="A22" s="809"/>
      <c r="B22" s="810" t="s">
        <v>550</v>
      </c>
      <c r="C22" s="811">
        <f>C4+C7+C9</f>
        <v>0</v>
      </c>
      <c r="D22" s="811">
        <f>D4+D7+D9</f>
        <v>0</v>
      </c>
      <c r="E22" s="811">
        <f>E4+E7+E9</f>
        <v>0</v>
      </c>
      <c r="F22" s="811">
        <f>F4+F7+F9</f>
        <v>0</v>
      </c>
      <c r="G22" s="811">
        <f t="shared" si="1"/>
        <v>0</v>
      </c>
      <c r="H22" s="812"/>
    </row>
    <row r="23" spans="1:8" ht="15.75">
      <c r="A23" s="809"/>
      <c r="B23" s="810" t="s">
        <v>551</v>
      </c>
      <c r="C23" s="811">
        <f>+C14+C17</f>
        <v>280001</v>
      </c>
      <c r="D23" s="811">
        <f>+D14+D17</f>
        <v>277167468</v>
      </c>
      <c r="E23" s="811">
        <f>+E14+E17</f>
        <v>3902550</v>
      </c>
      <c r="F23" s="811">
        <f>+F14+F17</f>
        <v>0</v>
      </c>
      <c r="G23" s="811">
        <f t="shared" si="1"/>
        <v>281070018</v>
      </c>
      <c r="H23" s="812">
        <f>G23/(C23*1000)</f>
        <v>1</v>
      </c>
    </row>
    <row r="24" spans="1:8" ht="16.5" thickBot="1">
      <c r="A24" s="813"/>
      <c r="B24" s="814" t="s">
        <v>552</v>
      </c>
      <c r="C24" s="815">
        <f>+C15+C18</f>
        <v>406</v>
      </c>
      <c r="D24" s="815">
        <f>+D15+D18</f>
        <v>0</v>
      </c>
      <c r="E24" s="815">
        <f>+E15+E18</f>
        <v>0</v>
      </c>
      <c r="F24" s="815">
        <f>F12+F16</f>
        <v>0</v>
      </c>
      <c r="G24" s="1175">
        <f t="shared" si="1"/>
        <v>0</v>
      </c>
      <c r="H24" s="816">
        <f>G24/(C24*1000)</f>
        <v>0</v>
      </c>
    </row>
    <row r="25" spans="1:8" ht="15.75">
      <c r="A25" s="817"/>
      <c r="B25" s="818" t="s">
        <v>553</v>
      </c>
      <c r="C25" s="819">
        <f aca="true" t="shared" si="2" ref="C25:F26">C21+C23</f>
        <v>283541</v>
      </c>
      <c r="D25" s="819">
        <f t="shared" si="2"/>
        <v>280943113</v>
      </c>
      <c r="E25" s="819">
        <f t="shared" si="2"/>
        <v>4005023</v>
      </c>
      <c r="F25" s="818">
        <f t="shared" si="2"/>
        <v>0</v>
      </c>
      <c r="G25" s="819">
        <f t="shared" si="1"/>
        <v>284948136</v>
      </c>
      <c r="H25" s="820">
        <f>G25/(C25*1000)</f>
        <v>1</v>
      </c>
    </row>
    <row r="26" spans="1:8" ht="16.5" thickBot="1">
      <c r="A26" s="821"/>
      <c r="B26" s="822" t="s">
        <v>554</v>
      </c>
      <c r="C26" s="823">
        <f t="shared" si="2"/>
        <v>406</v>
      </c>
      <c r="D26" s="823">
        <f t="shared" si="2"/>
        <v>0</v>
      </c>
      <c r="E26" s="823">
        <f t="shared" si="2"/>
        <v>0</v>
      </c>
      <c r="F26" s="822">
        <f t="shared" si="2"/>
        <v>0</v>
      </c>
      <c r="G26" s="823">
        <f t="shared" si="1"/>
        <v>0</v>
      </c>
      <c r="H26" s="824">
        <f>G26/(C26*1000)</f>
        <v>0</v>
      </c>
    </row>
    <row r="27" spans="1:8" ht="16.5" thickBot="1">
      <c r="A27" s="825"/>
      <c r="B27" s="826" t="s">
        <v>555</v>
      </c>
      <c r="C27" s="827">
        <f>C25+C26</f>
        <v>283947</v>
      </c>
      <c r="D27" s="827">
        <f>D25+D26</f>
        <v>280943113</v>
      </c>
      <c r="E27" s="827">
        <f>E25+E26</f>
        <v>4005023</v>
      </c>
      <c r="F27" s="826">
        <f>F25+F26</f>
        <v>0</v>
      </c>
      <c r="G27" s="827">
        <f t="shared" si="1"/>
        <v>284948136</v>
      </c>
      <c r="H27" s="828">
        <f>G27/(C27*1000)</f>
        <v>1</v>
      </c>
    </row>
    <row r="28" ht="16.5" thickBot="1"/>
    <row r="29" spans="1:8" ht="13.5" customHeight="1">
      <c r="A29" s="1904" t="s">
        <v>523</v>
      </c>
      <c r="B29" s="1906" t="s">
        <v>1197</v>
      </c>
      <c r="C29" s="1854" t="s">
        <v>1065</v>
      </c>
      <c r="D29" s="1851" t="s">
        <v>1050</v>
      </c>
      <c r="E29" s="1852"/>
      <c r="F29" s="1852"/>
      <c r="G29" s="1853"/>
      <c r="H29" s="1848" t="s">
        <v>1051</v>
      </c>
    </row>
    <row r="30" spans="1:9" ht="48" thickBot="1">
      <c r="A30" s="1905"/>
      <c r="B30" s="1907"/>
      <c r="C30" s="1855"/>
      <c r="D30" s="1136" t="s">
        <v>287</v>
      </c>
      <c r="E30" s="1136" t="s">
        <v>795</v>
      </c>
      <c r="F30" s="1136" t="s">
        <v>796</v>
      </c>
      <c r="G30" s="1136" t="s">
        <v>65</v>
      </c>
      <c r="H30" s="1849"/>
      <c r="I30" s="1454"/>
    </row>
    <row r="31" spans="1:9" s="1386" customFormat="1" ht="24.75" customHeight="1">
      <c r="A31" s="1381" t="s">
        <v>104</v>
      </c>
      <c r="B31" s="1382" t="s">
        <v>105</v>
      </c>
      <c r="C31" s="1383">
        <v>157022</v>
      </c>
      <c r="D31" s="1383">
        <v>170815824</v>
      </c>
      <c r="E31" s="1383">
        <v>2850000</v>
      </c>
      <c r="F31" s="1383"/>
      <c r="G31" s="1383">
        <f aca="true" t="shared" si="3" ref="G31:G41">SUM(D31:F31)</f>
        <v>173665824</v>
      </c>
      <c r="H31" s="1384">
        <f>G31/(C31*1000)</f>
        <v>1.11</v>
      </c>
      <c r="I31" s="1455"/>
    </row>
    <row r="32" spans="1:9" s="1386" customFormat="1" ht="24.75" customHeight="1">
      <c r="A32" s="1387" t="s">
        <v>106</v>
      </c>
      <c r="B32" s="1410" t="s">
        <v>107</v>
      </c>
      <c r="C32" s="1392">
        <v>45831</v>
      </c>
      <c r="D32" s="1392">
        <v>41968279</v>
      </c>
      <c r="E32" s="1392">
        <v>1052550</v>
      </c>
      <c r="F32" s="1392"/>
      <c r="G32" s="1392">
        <f t="shared" si="3"/>
        <v>43020829</v>
      </c>
      <c r="H32" s="1393">
        <f>G32/(C32*1000)</f>
        <v>0.94</v>
      </c>
      <c r="I32" s="1455"/>
    </row>
    <row r="33" spans="1:9" s="1386" customFormat="1" ht="24.75" customHeight="1">
      <c r="A33" s="1387" t="s">
        <v>108</v>
      </c>
      <c r="B33" s="1391" t="s">
        <v>109</v>
      </c>
      <c r="C33" s="1392">
        <v>80688</v>
      </c>
      <c r="D33" s="1392">
        <v>68159010</v>
      </c>
      <c r="E33" s="1392">
        <v>102473</v>
      </c>
      <c r="F33" s="1392"/>
      <c r="G33" s="1392">
        <f t="shared" si="3"/>
        <v>68261483</v>
      </c>
      <c r="H33" s="1393">
        <f>G33/(C33*1000)</f>
        <v>0.85</v>
      </c>
      <c r="I33" s="1455"/>
    </row>
    <row r="34" spans="1:9" s="1386" customFormat="1" ht="24.75" customHeight="1">
      <c r="A34" s="1387" t="s">
        <v>110</v>
      </c>
      <c r="B34" s="1391" t="s">
        <v>111</v>
      </c>
      <c r="C34" s="1392"/>
      <c r="D34" s="1392"/>
      <c r="E34" s="1392"/>
      <c r="F34" s="1392"/>
      <c r="G34" s="1392">
        <f t="shared" si="3"/>
        <v>0</v>
      </c>
      <c r="H34" s="1393"/>
      <c r="I34" s="1455"/>
    </row>
    <row r="35" spans="1:9" s="1386" customFormat="1" ht="24.75" customHeight="1">
      <c r="A35" s="1387" t="s">
        <v>112</v>
      </c>
      <c r="B35" s="1391" t="s">
        <v>113</v>
      </c>
      <c r="C35" s="1392"/>
      <c r="D35" s="1392"/>
      <c r="E35" s="1392"/>
      <c r="F35" s="1392"/>
      <c r="G35" s="1392">
        <f t="shared" si="3"/>
        <v>0</v>
      </c>
      <c r="H35" s="1393"/>
      <c r="I35" s="1455"/>
    </row>
    <row r="36" spans="1:9" s="1386" customFormat="1" ht="24.75" customHeight="1">
      <c r="A36" s="1387" t="s">
        <v>548</v>
      </c>
      <c r="B36" s="1391" t="s">
        <v>121</v>
      </c>
      <c r="C36" s="1392">
        <v>406</v>
      </c>
      <c r="D36" s="1392"/>
      <c r="E36" s="1392"/>
      <c r="F36" s="1392"/>
      <c r="G36" s="1392">
        <f t="shared" si="3"/>
        <v>0</v>
      </c>
      <c r="H36" s="1393">
        <f>G36/(C36*1000)</f>
        <v>0</v>
      </c>
      <c r="I36" s="1455"/>
    </row>
    <row r="37" spans="1:9" s="1386" customFormat="1" ht="24.75" customHeight="1">
      <c r="A37" s="1387" t="s">
        <v>122</v>
      </c>
      <c r="B37" s="1391" t="s">
        <v>123</v>
      </c>
      <c r="C37" s="1392"/>
      <c r="D37" s="1392"/>
      <c r="E37" s="1392"/>
      <c r="F37" s="1392"/>
      <c r="G37" s="1392">
        <f t="shared" si="3"/>
        <v>0</v>
      </c>
      <c r="H37" s="1393"/>
      <c r="I37" s="1455"/>
    </row>
    <row r="38" spans="1:9" s="1386" customFormat="1" ht="24.75" customHeight="1" thickBot="1">
      <c r="A38" s="1394" t="s">
        <v>124</v>
      </c>
      <c r="B38" s="1395" t="s">
        <v>125</v>
      </c>
      <c r="C38" s="1396"/>
      <c r="D38" s="1396"/>
      <c r="E38" s="1396"/>
      <c r="F38" s="1396"/>
      <c r="G38" s="1396">
        <f t="shared" si="3"/>
        <v>0</v>
      </c>
      <c r="H38" s="1411"/>
      <c r="I38" s="1455"/>
    </row>
    <row r="39" spans="1:9" ht="16.5" thickBot="1">
      <c r="A39" s="782" t="s">
        <v>138</v>
      </c>
      <c r="B39" s="783" t="s">
        <v>139</v>
      </c>
      <c r="C39" s="784">
        <f>C31+C32+C33+C34+C35+C36+C37+C38</f>
        <v>283947</v>
      </c>
      <c r="D39" s="784">
        <f>D31+D32+D33+D34+D35+D36+D37+D38</f>
        <v>280943113</v>
      </c>
      <c r="E39" s="784">
        <f>E31+E32+E33+E34+E35+E36+E37+E38</f>
        <v>4005023</v>
      </c>
      <c r="F39" s="784">
        <f>F31+F32+F33+F34+F35+F36+F37+F38</f>
        <v>0</v>
      </c>
      <c r="G39" s="1139">
        <f t="shared" si="3"/>
        <v>284948136</v>
      </c>
      <c r="H39" s="786">
        <f>G39/(C39*1000)</f>
        <v>1</v>
      </c>
      <c r="I39" s="1454"/>
    </row>
    <row r="40" spans="1:9" s="1386" customFormat="1" ht="24.75" customHeight="1" thickBot="1">
      <c r="A40" s="1437" t="s">
        <v>129</v>
      </c>
      <c r="B40" s="1438" t="s">
        <v>130</v>
      </c>
      <c r="C40" s="1439"/>
      <c r="D40" s="1439"/>
      <c r="E40" s="1439"/>
      <c r="F40" s="1439"/>
      <c r="G40" s="1439">
        <f t="shared" si="3"/>
        <v>0</v>
      </c>
      <c r="H40" s="1440"/>
      <c r="I40" s="1455"/>
    </row>
    <row r="41" spans="1:9" s="1449" customFormat="1" ht="24.75" customHeight="1" thickBot="1">
      <c r="A41" s="1141"/>
      <c r="B41" s="1142" t="s">
        <v>77</v>
      </c>
      <c r="C41" s="1408">
        <f>C40+C39</f>
        <v>283947</v>
      </c>
      <c r="D41" s="1408">
        <f>D40+D39</f>
        <v>280943113</v>
      </c>
      <c r="E41" s="1408">
        <f>E40+E39</f>
        <v>4005023</v>
      </c>
      <c r="F41" s="1409">
        <f>F40+F39</f>
        <v>0</v>
      </c>
      <c r="G41" s="1408">
        <f t="shared" si="3"/>
        <v>284948136</v>
      </c>
      <c r="H41" s="1144">
        <f>G41/(C41*1000)</f>
        <v>1</v>
      </c>
      <c r="I41" s="1459"/>
    </row>
    <row r="42" spans="1:8" ht="16.5" thickBot="1">
      <c r="A42" s="800"/>
      <c r="B42" s="801"/>
      <c r="C42" s="802"/>
      <c r="D42" s="802"/>
      <c r="E42" s="802"/>
      <c r="F42" s="803"/>
      <c r="G42" s="803"/>
      <c r="H42" s="804"/>
    </row>
    <row r="43" spans="1:8" ht="15.75">
      <c r="A43" s="805"/>
      <c r="B43" s="806" t="s">
        <v>158</v>
      </c>
      <c r="C43" s="807">
        <f>C31+C32+C33+C34+C35</f>
        <v>283541</v>
      </c>
      <c r="D43" s="807">
        <f>D31+D32+D33+D34+D35</f>
        <v>280943113</v>
      </c>
      <c r="E43" s="807">
        <f>E31+E32+E33+E34+E35</f>
        <v>4005023</v>
      </c>
      <c r="F43" s="807">
        <f>F31+F32+F33+F34+F35</f>
        <v>0</v>
      </c>
      <c r="G43" s="807">
        <f>SUM(D43:F43)</f>
        <v>284948136</v>
      </c>
      <c r="H43" s="808">
        <f>G43/(C43*1000)</f>
        <v>1</v>
      </c>
    </row>
    <row r="44" spans="1:8" ht="15.75">
      <c r="A44" s="809"/>
      <c r="B44" s="810" t="s">
        <v>159</v>
      </c>
      <c r="C44" s="811">
        <f>C36+C37+C38</f>
        <v>406</v>
      </c>
      <c r="D44" s="811">
        <f>D36+D37+D38</f>
        <v>0</v>
      </c>
      <c r="E44" s="811">
        <f>E36+E37+E38</f>
        <v>0</v>
      </c>
      <c r="F44" s="811">
        <f>F36+F37+F38</f>
        <v>0</v>
      </c>
      <c r="G44" s="811">
        <f>SUM(D44:F44)</f>
        <v>0</v>
      </c>
      <c r="H44" s="812">
        <f>G44/(C44*1000)</f>
        <v>0</v>
      </c>
    </row>
    <row r="45" spans="1:8" ht="15.75">
      <c r="A45" s="809"/>
      <c r="B45" s="810" t="s">
        <v>160</v>
      </c>
      <c r="C45" s="811">
        <f>C40</f>
        <v>0</v>
      </c>
      <c r="D45" s="811">
        <f>D40</f>
        <v>0</v>
      </c>
      <c r="E45" s="811">
        <f>E40</f>
        <v>0</v>
      </c>
      <c r="F45" s="811">
        <f>F40</f>
        <v>0</v>
      </c>
      <c r="G45" s="811">
        <f>SUM(D45:F45)</f>
        <v>0</v>
      </c>
      <c r="H45" s="812"/>
    </row>
    <row r="46" spans="1:8" ht="16.5" thickBot="1">
      <c r="A46" s="813"/>
      <c r="B46" s="814" t="s">
        <v>161</v>
      </c>
      <c r="C46" s="815">
        <f>C40</f>
        <v>0</v>
      </c>
      <c r="D46" s="815">
        <f>D40</f>
        <v>0</v>
      </c>
      <c r="E46" s="815">
        <f>E40</f>
        <v>0</v>
      </c>
      <c r="F46" s="815">
        <f>F40</f>
        <v>0</v>
      </c>
      <c r="G46" s="815">
        <f>G40</f>
        <v>0</v>
      </c>
      <c r="H46" s="816"/>
    </row>
    <row r="47" spans="1:8" ht="15.75">
      <c r="A47" s="817"/>
      <c r="B47" s="818" t="s">
        <v>162</v>
      </c>
      <c r="C47" s="819">
        <f aca="true" t="shared" si="4" ref="C47:F48">C43+C45</f>
        <v>283541</v>
      </c>
      <c r="D47" s="819">
        <f t="shared" si="4"/>
        <v>280943113</v>
      </c>
      <c r="E47" s="819">
        <f t="shared" si="4"/>
        <v>4005023</v>
      </c>
      <c r="F47" s="818">
        <f t="shared" si="4"/>
        <v>0</v>
      </c>
      <c r="G47" s="819">
        <f>SUM(D47:F47)</f>
        <v>284948136</v>
      </c>
      <c r="H47" s="820">
        <f>G47/(C47*1000)</f>
        <v>1</v>
      </c>
    </row>
    <row r="48" spans="1:8" ht="16.5" thickBot="1">
      <c r="A48" s="821"/>
      <c r="B48" s="822" t="s">
        <v>163</v>
      </c>
      <c r="C48" s="823">
        <f t="shared" si="4"/>
        <v>406</v>
      </c>
      <c r="D48" s="823">
        <f t="shared" si="4"/>
        <v>0</v>
      </c>
      <c r="E48" s="823">
        <f t="shared" si="4"/>
        <v>0</v>
      </c>
      <c r="F48" s="822">
        <f t="shared" si="4"/>
        <v>0</v>
      </c>
      <c r="G48" s="823">
        <f>SUM(D48:F48)</f>
        <v>0</v>
      </c>
      <c r="H48" s="824">
        <f>G48/(C48*1000)</f>
        <v>0</v>
      </c>
    </row>
    <row r="49" spans="1:8" ht="16.5" thickBot="1">
      <c r="A49" s="825"/>
      <c r="B49" s="826" t="s">
        <v>164</v>
      </c>
      <c r="C49" s="827">
        <f>C47+C48</f>
        <v>283947</v>
      </c>
      <c r="D49" s="827">
        <f>D47+D48</f>
        <v>280943113</v>
      </c>
      <c r="E49" s="827">
        <f>E47+E48</f>
        <v>4005023</v>
      </c>
      <c r="F49" s="826">
        <f>F47+F48</f>
        <v>0</v>
      </c>
      <c r="G49" s="827">
        <f>SUM(D49:F49)</f>
        <v>284948136</v>
      </c>
      <c r="H49" s="828">
        <f>G49/(C49*1000)</f>
        <v>1</v>
      </c>
    </row>
  </sheetData>
  <sheetProtection/>
  <mergeCells count="10">
    <mergeCell ref="H1:H2"/>
    <mergeCell ref="A29:A30"/>
    <mergeCell ref="B29:B30"/>
    <mergeCell ref="C29:C30"/>
    <mergeCell ref="D29:G29"/>
    <mergeCell ref="H29:H30"/>
    <mergeCell ref="A1:A2"/>
    <mergeCell ref="D1:G1"/>
    <mergeCell ref="C1:C2"/>
    <mergeCell ref="B1:B2"/>
  </mergeCells>
  <printOptions horizontalCentered="1"/>
  <pageMargins left="0.3937007874015748" right="0.3937007874015748" top="0.7874015748031497" bottom="0.7874015748031497" header="0.3937007874015748" footer="0.3937007874015748"/>
  <pageSetup fitToHeight="2" horizontalDpi="300" verticalDpi="300" orientation="landscape" paperSize="9" scale="92" r:id="rId1"/>
  <headerFooter alignWithMargins="0">
    <oddHeader>&amp;C&amp;"Times New Roman,Félkövér"PESTERZSÉBETI LURKÓHÁZ ÓVODA
 2017. ÉVI BEVÉTELEI ÉS KIADÁSAI
&amp;R&amp;"Times New Roman,Félkövér"4.13. sz. melléklet&amp;"MS Sans Serif,Normál"
</oddHeader>
  </headerFooter>
  <rowBreaks count="1" manualBreakCount="1">
    <brk id="28" max="7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sheetPr codeName="Munka73">
    <pageSetUpPr fitToPage="1"/>
  </sheetPr>
  <dimension ref="A1:H13"/>
  <sheetViews>
    <sheetView zoomScale="80" zoomScaleNormal="80" zoomScalePageLayoutView="0" workbookViewId="0" topLeftCell="A1">
      <pane ySplit="1" topLeftCell="A2" activePane="bottomLeft" state="frozen"/>
      <selection pane="topLeft" activeCell="D16" sqref="D16"/>
      <selection pane="bottomLeft" activeCell="G17" sqref="G17"/>
    </sheetView>
  </sheetViews>
  <sheetFormatPr defaultColWidth="9.140625" defaultRowHeight="12.75"/>
  <cols>
    <col min="1" max="1" width="9.140625" style="694" customWidth="1"/>
    <col min="2" max="2" width="62.28125" style="694" customWidth="1"/>
    <col min="3" max="8" width="18.28125" style="694" customWidth="1"/>
    <col min="9" max="16384" width="9.140625" style="694" customWidth="1"/>
  </cols>
  <sheetData>
    <row r="1" spans="1:8" ht="13.5" customHeight="1">
      <c r="A1" s="1928" t="s">
        <v>523</v>
      </c>
      <c r="B1" s="1906" t="s">
        <v>510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8" ht="48" thickBot="1">
      <c r="A2" s="1929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8" ht="15.75">
      <c r="A3" s="1472" t="s">
        <v>213</v>
      </c>
      <c r="B3" s="1473" t="s">
        <v>214</v>
      </c>
      <c r="C3" s="709"/>
      <c r="D3" s="709"/>
      <c r="E3" s="708"/>
      <c r="F3" s="708"/>
      <c r="G3" s="709">
        <f>SUM(D3:F3)</f>
        <v>0</v>
      </c>
      <c r="H3" s="721"/>
    </row>
    <row r="4" spans="1:8" ht="15" customHeight="1">
      <c r="A4" s="1474" t="s">
        <v>215</v>
      </c>
      <c r="B4" s="1475" t="s">
        <v>216</v>
      </c>
      <c r="C4" s="695"/>
      <c r="D4" s="695"/>
      <c r="E4" s="695"/>
      <c r="F4" s="695"/>
      <c r="G4" s="695">
        <f>SUM(D4:F4)</f>
        <v>0</v>
      </c>
      <c r="H4" s="1427"/>
    </row>
    <row r="5" spans="1:8" ht="15" customHeight="1">
      <c r="A5" s="1474" t="s">
        <v>534</v>
      </c>
      <c r="B5" s="1475" t="s">
        <v>535</v>
      </c>
      <c r="C5" s="700"/>
      <c r="D5" s="695"/>
      <c r="E5" s="1428"/>
      <c r="F5" s="1428"/>
      <c r="G5" s="700">
        <f aca="true" t="shared" si="0" ref="G5:G13">SUM(D5:F5)</f>
        <v>0</v>
      </c>
      <c r="H5" s="701"/>
    </row>
    <row r="6" spans="1:8" ht="15" customHeight="1">
      <c r="A6" s="1474" t="s">
        <v>536</v>
      </c>
      <c r="B6" s="1475" t="s">
        <v>537</v>
      </c>
      <c r="C6" s="695">
        <f>C7+C9</f>
        <v>320</v>
      </c>
      <c r="D6" s="695">
        <f>D7+D9</f>
        <v>0</v>
      </c>
      <c r="E6" s="695">
        <f>E7+E9</f>
        <v>0</v>
      </c>
      <c r="F6" s="695">
        <f>F7+F9</f>
        <v>0</v>
      </c>
      <c r="G6" s="702">
        <f t="shared" si="0"/>
        <v>0</v>
      </c>
      <c r="H6" s="701"/>
    </row>
    <row r="7" spans="1:8" ht="15" customHeight="1">
      <c r="A7" s="1476"/>
      <c r="B7" s="1477" t="s">
        <v>538</v>
      </c>
      <c r="C7" s="1430">
        <f>SUM(C8:C8)</f>
        <v>320</v>
      </c>
      <c r="D7" s="1430">
        <f>SUM(D8:D8)</f>
        <v>0</v>
      </c>
      <c r="E7" s="1430">
        <f>SUM(E8:E8)</f>
        <v>0</v>
      </c>
      <c r="F7" s="1430">
        <f>SUM(F8:F8)</f>
        <v>0</v>
      </c>
      <c r="G7" s="1431">
        <f t="shared" si="0"/>
        <v>0</v>
      </c>
      <c r="H7" s="1432"/>
    </row>
    <row r="8" spans="1:8" ht="15" customHeight="1">
      <c r="A8" s="1476"/>
      <c r="B8" s="1478" t="s">
        <v>557</v>
      </c>
      <c r="C8" s="696">
        <v>320</v>
      </c>
      <c r="D8" s="696"/>
      <c r="E8" s="696"/>
      <c r="F8" s="696"/>
      <c r="G8" s="703">
        <f t="shared" si="0"/>
        <v>0</v>
      </c>
      <c r="H8" s="698"/>
    </row>
    <row r="9" spans="1:8" ht="15.75">
      <c r="A9" s="1476" t="s">
        <v>539</v>
      </c>
      <c r="B9" s="1477" t="s">
        <v>540</v>
      </c>
      <c r="C9" s="696"/>
      <c r="D9" s="696"/>
      <c r="E9" s="696"/>
      <c r="F9" s="696"/>
      <c r="G9" s="717">
        <f t="shared" si="0"/>
        <v>0</v>
      </c>
      <c r="H9" s="699"/>
    </row>
    <row r="10" spans="1:8" ht="15.75">
      <c r="A10" s="1474" t="s">
        <v>541</v>
      </c>
      <c r="B10" s="1475" t="s">
        <v>542</v>
      </c>
      <c r="C10" s="700"/>
      <c r="D10" s="700"/>
      <c r="E10" s="700"/>
      <c r="F10" s="700"/>
      <c r="G10" s="700">
        <f t="shared" si="0"/>
        <v>0</v>
      </c>
      <c r="H10" s="1434"/>
    </row>
    <row r="11" spans="1:8" ht="15.75">
      <c r="A11" s="1474" t="s">
        <v>543</v>
      </c>
      <c r="B11" s="1475" t="s">
        <v>546</v>
      </c>
      <c r="C11" s="700"/>
      <c r="D11" s="700"/>
      <c r="E11" s="700"/>
      <c r="F11" s="700"/>
      <c r="G11" s="700">
        <f t="shared" si="0"/>
        <v>0</v>
      </c>
      <c r="H11" s="1434"/>
    </row>
    <row r="12" spans="1:8" ht="16.5" thickBot="1">
      <c r="A12" s="1479" t="s">
        <v>544</v>
      </c>
      <c r="B12" s="1480" t="s">
        <v>545</v>
      </c>
      <c r="C12" s="704">
        <f>(C3+C4+C5+C6)*27%</f>
        <v>86</v>
      </c>
      <c r="D12" s="704">
        <f>((D3+D4+D5+D6)*27%)</f>
        <v>0</v>
      </c>
      <c r="E12" s="704">
        <f>(E3+E4+E5+E6)*27%</f>
        <v>0</v>
      </c>
      <c r="F12" s="704">
        <f>(F3+F4+F5+F6)*27%</f>
        <v>0</v>
      </c>
      <c r="G12" s="704">
        <f t="shared" si="0"/>
        <v>0</v>
      </c>
      <c r="H12" s="705"/>
    </row>
    <row r="13" spans="1:8" s="1343" customFormat="1" ht="35.25" customHeight="1" thickBot="1">
      <c r="A13" s="1481"/>
      <c r="B13" s="719" t="s">
        <v>547</v>
      </c>
      <c r="C13" s="693">
        <f>C3+C4+C5+C6+C10+C11+C12</f>
        <v>406</v>
      </c>
      <c r="D13" s="693">
        <f>D3+D4+D5+D6+D10+D11+D12</f>
        <v>0</v>
      </c>
      <c r="E13" s="693">
        <f>E3+E4+E5+E6+E10+E11+E12</f>
        <v>0</v>
      </c>
      <c r="F13" s="693">
        <f>F3+F4+F5+F6+F10+F11+F12</f>
        <v>0</v>
      </c>
      <c r="G13" s="693">
        <f t="shared" si="0"/>
        <v>0</v>
      </c>
      <c r="H13" s="706"/>
    </row>
  </sheetData>
  <sheetProtection/>
  <mergeCells count="5">
    <mergeCell ref="A1:A2"/>
    <mergeCell ref="H1:H2"/>
    <mergeCell ref="C1:C2"/>
    <mergeCell ref="B1:B2"/>
    <mergeCell ref="D1:G1"/>
  </mergeCells>
  <printOptions horizontalCentered="1"/>
  <pageMargins left="0.5905511811023623" right="0.5905511811023623" top="0.984251968503937" bottom="1.1811023622047245" header="0.3937007874015748" footer="0.3937007874015748"/>
  <pageSetup fitToHeight="1" fitToWidth="1" orientation="landscape" paperSize="9" scale="75" r:id="rId1"/>
  <headerFooter alignWithMargins="0">
    <oddHeader>&amp;C&amp;"Times New Roman,Normál"PESTERZSÉBETI LURKÓHÁZ ÓVODA 
2017. ÉVI BERUHÁZÁSI KIADÁSAI 
&amp;R&amp;"Times New Roman,Normál"4.14. sz. melléklet&amp;"MS Sans Serif,Normál"
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Munka75"/>
  <dimension ref="A1:I49"/>
  <sheetViews>
    <sheetView zoomScalePageLayoutView="0" workbookViewId="0" topLeftCell="A1">
      <pane xSplit="2" ySplit="2" topLeftCell="C15" activePane="bottomRight" state="frozen"/>
      <selection pane="topLeft" activeCell="B1" sqref="B1:B2"/>
      <selection pane="topRight" activeCell="B1" sqref="B1:B2"/>
      <selection pane="bottomLeft" activeCell="B1" sqref="B1:B2"/>
      <selection pane="bottomRight" activeCell="D31" sqref="D31"/>
    </sheetView>
  </sheetViews>
  <sheetFormatPr defaultColWidth="9.140625" defaultRowHeight="12.75"/>
  <cols>
    <col min="1" max="1" width="9.140625" style="1147" customWidth="1"/>
    <col min="2" max="2" width="52.28125" style="1147" customWidth="1"/>
    <col min="3" max="3" width="14.28125" style="1146" customWidth="1"/>
    <col min="4" max="4" width="17.7109375" style="1146" customWidth="1"/>
    <col min="5" max="5" width="19.00390625" style="1146" customWidth="1"/>
    <col min="6" max="6" width="16.8515625" style="1146" customWidth="1"/>
    <col min="7" max="7" width="15.7109375" style="1146" customWidth="1"/>
    <col min="8" max="8" width="14.28125" style="1147" customWidth="1"/>
    <col min="9" max="9" width="14.140625" style="1146" customWidth="1"/>
    <col min="10" max="10" width="12.421875" style="1147" customWidth="1"/>
    <col min="11" max="11" width="10.00390625" style="1147" customWidth="1"/>
    <col min="12" max="16384" width="9.140625" style="1147" customWidth="1"/>
  </cols>
  <sheetData>
    <row r="1" spans="1:8" ht="13.5" customHeight="1">
      <c r="A1" s="1844" t="s">
        <v>523</v>
      </c>
      <c r="B1" s="1906" t="s">
        <v>1198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9" ht="48" thickBot="1">
      <c r="A2" s="1845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  <c r="I2" s="1454"/>
    </row>
    <row r="3" spans="1:9" s="1386" customFormat="1" ht="31.5">
      <c r="A3" s="1381" t="s">
        <v>185</v>
      </c>
      <c r="B3" s="1410" t="s">
        <v>186</v>
      </c>
      <c r="C3" s="1383"/>
      <c r="D3" s="1383"/>
      <c r="E3" s="1383"/>
      <c r="F3" s="1383"/>
      <c r="G3" s="1383">
        <f>SUM(D3:F3)</f>
        <v>0</v>
      </c>
      <c r="H3" s="1384"/>
      <c r="I3" s="1455"/>
    </row>
    <row r="4" spans="1:9" s="1386" customFormat="1" ht="31.5">
      <c r="A4" s="1387" t="s">
        <v>187</v>
      </c>
      <c r="B4" s="1410" t="s">
        <v>514</v>
      </c>
      <c r="C4" s="1392"/>
      <c r="D4" s="1392"/>
      <c r="E4" s="1392"/>
      <c r="F4" s="1392"/>
      <c r="G4" s="1392">
        <f>SUM(D4:F4)</f>
        <v>0</v>
      </c>
      <c r="H4" s="1393"/>
      <c r="I4" s="1455"/>
    </row>
    <row r="5" spans="1:9" s="1386" customFormat="1" ht="19.5" customHeight="1">
      <c r="A5" s="1387" t="s">
        <v>193</v>
      </c>
      <c r="B5" s="1391" t="s">
        <v>148</v>
      </c>
      <c r="C5" s="1392"/>
      <c r="D5" s="1392"/>
      <c r="E5" s="1392"/>
      <c r="F5" s="1392"/>
      <c r="G5" s="1392">
        <f>SUM(D5:F5)</f>
        <v>0</v>
      </c>
      <c r="H5" s="1393"/>
      <c r="I5" s="1455"/>
    </row>
    <row r="6" spans="1:9" s="1386" customFormat="1" ht="19.5" customHeight="1">
      <c r="A6" s="1387" t="s">
        <v>469</v>
      </c>
      <c r="B6" s="1391" t="s">
        <v>664</v>
      </c>
      <c r="C6" s="1392">
        <v>13349</v>
      </c>
      <c r="D6" s="1392">
        <v>8706738</v>
      </c>
      <c r="E6" s="1392">
        <v>80000</v>
      </c>
      <c r="F6" s="1392"/>
      <c r="G6" s="1392">
        <f>SUM(D6:F6)</f>
        <v>8786738</v>
      </c>
      <c r="H6" s="1393">
        <f>G6/(C6*1000)</f>
        <v>0.66</v>
      </c>
      <c r="I6" s="1455"/>
    </row>
    <row r="7" spans="1:9" s="1386" customFormat="1" ht="19.5" customHeight="1">
      <c r="A7" s="1387" t="s">
        <v>486</v>
      </c>
      <c r="B7" s="1391" t="s">
        <v>663</v>
      </c>
      <c r="C7" s="1392"/>
      <c r="D7" s="1392"/>
      <c r="E7" s="1392"/>
      <c r="F7" s="1392"/>
      <c r="G7" s="1392"/>
      <c r="H7" s="1393"/>
      <c r="I7" s="1455"/>
    </row>
    <row r="8" spans="1:9" s="1386" customFormat="1" ht="19.5" customHeight="1">
      <c r="A8" s="1387" t="s">
        <v>471</v>
      </c>
      <c r="B8" s="1391" t="s">
        <v>475</v>
      </c>
      <c r="C8" s="1392"/>
      <c r="D8" s="1392"/>
      <c r="E8" s="1392"/>
      <c r="F8" s="1392"/>
      <c r="G8" s="1392"/>
      <c r="H8" s="1393"/>
      <c r="I8" s="1455"/>
    </row>
    <row r="9" spans="1:9" s="1386" customFormat="1" ht="19.5" customHeight="1" thickBot="1">
      <c r="A9" s="1394" t="s">
        <v>473</v>
      </c>
      <c r="B9" s="1395" t="s">
        <v>474</v>
      </c>
      <c r="C9" s="1396"/>
      <c r="D9" s="1396"/>
      <c r="E9" s="1396"/>
      <c r="F9" s="1396"/>
      <c r="G9" s="1396"/>
      <c r="H9" s="1397"/>
      <c r="I9" s="1455"/>
    </row>
    <row r="10" spans="1:9" s="1399" customFormat="1" ht="15" customHeight="1" thickBot="1">
      <c r="A10" s="782" t="s">
        <v>476</v>
      </c>
      <c r="B10" s="783" t="s">
        <v>286</v>
      </c>
      <c r="C10" s="784">
        <f>C3+C4+C5+C6+C7+C8+C9</f>
        <v>13349</v>
      </c>
      <c r="D10" s="784">
        <f>D3+D4+D5+D6+D7+D8+D9</f>
        <v>8706738</v>
      </c>
      <c r="E10" s="784">
        <f>E3+E4+E5+E6+E7+E8+E9</f>
        <v>80000</v>
      </c>
      <c r="F10" s="784">
        <f>F3+F4+F5+F6+F7+F8+F9</f>
        <v>0</v>
      </c>
      <c r="G10" s="1139">
        <f>SUM(D10:F10)</f>
        <v>8786738</v>
      </c>
      <c r="H10" s="786">
        <f>G10/(C10*1000)</f>
        <v>0.66</v>
      </c>
      <c r="I10" s="1398"/>
    </row>
    <row r="11" spans="1:9" s="1399" customFormat="1" ht="15" customHeight="1">
      <c r="A11" s="1381" t="s">
        <v>477</v>
      </c>
      <c r="B11" s="1382" t="s">
        <v>478</v>
      </c>
      <c r="C11" s="1383">
        <f>+C12</f>
        <v>386886</v>
      </c>
      <c r="D11" s="1383">
        <f>+D12</f>
        <v>387799778</v>
      </c>
      <c r="E11" s="1383">
        <f>+E12</f>
        <v>5753160</v>
      </c>
      <c r="F11" s="1383">
        <f>+F12</f>
        <v>0</v>
      </c>
      <c r="G11" s="1383">
        <f>+G12</f>
        <v>393552938</v>
      </c>
      <c r="H11" s="1384">
        <f>G11/(C11*1000)</f>
        <v>1.02</v>
      </c>
      <c r="I11" s="1398"/>
    </row>
    <row r="12" spans="1:9" s="1399" customFormat="1" ht="15" customHeight="1">
      <c r="A12" s="1400" t="s">
        <v>483</v>
      </c>
      <c r="B12" s="1401" t="s">
        <v>484</v>
      </c>
      <c r="C12" s="1402">
        <f>+C13+C16</f>
        <v>386886</v>
      </c>
      <c r="D12" s="1402">
        <f>+D13+D16</f>
        <v>387799778</v>
      </c>
      <c r="E12" s="1402">
        <f>+E13+E16</f>
        <v>5753160</v>
      </c>
      <c r="F12" s="1402">
        <f>+F13+F16</f>
        <v>0</v>
      </c>
      <c r="G12" s="1402">
        <f aca="true" t="shared" si="0" ref="G12:G19">SUM(D12:F12)</f>
        <v>393552938</v>
      </c>
      <c r="H12" s="1403">
        <f>G12/(C12*1000)</f>
        <v>1.02</v>
      </c>
      <c r="I12" s="1398"/>
    </row>
    <row r="13" spans="1:9" s="1399" customFormat="1" ht="15" customHeight="1">
      <c r="A13" s="1160" t="s">
        <v>479</v>
      </c>
      <c r="B13" s="1166" t="s">
        <v>480</v>
      </c>
      <c r="C13" s="1167">
        <f>SUM(C14:C15)</f>
        <v>78</v>
      </c>
      <c r="D13" s="1167">
        <f>SUM(D14:D15)</f>
        <v>377630</v>
      </c>
      <c r="E13" s="1167">
        <f>SUM(E14:E15)</f>
        <v>0</v>
      </c>
      <c r="F13" s="1167">
        <f>SUM(F14:F15)</f>
        <v>0</v>
      </c>
      <c r="G13" s="1162">
        <f>SUM(D13:F13)</f>
        <v>377630</v>
      </c>
      <c r="H13" s="1168">
        <f>G13/(C13*1000)</f>
        <v>4.84</v>
      </c>
      <c r="I13" s="1398"/>
    </row>
    <row r="14" spans="1:9" s="1399" customFormat="1" ht="15" customHeight="1">
      <c r="A14" s="809"/>
      <c r="B14" s="1148" t="s">
        <v>241</v>
      </c>
      <c r="C14" s="811">
        <v>78</v>
      </c>
      <c r="D14" s="811">
        <v>377630</v>
      </c>
      <c r="E14" s="811"/>
      <c r="F14" s="811"/>
      <c r="G14" s="811">
        <f t="shared" si="0"/>
        <v>377630</v>
      </c>
      <c r="H14" s="1169">
        <f>G14/(C14*1000)</f>
        <v>4.84</v>
      </c>
      <c r="I14" s="1398"/>
    </row>
    <row r="15" spans="1:9" s="1399" customFormat="1" ht="15" customHeight="1">
      <c r="A15" s="809"/>
      <c r="B15" s="1148" t="s">
        <v>242</v>
      </c>
      <c r="C15" s="811"/>
      <c r="D15" s="811"/>
      <c r="E15" s="811"/>
      <c r="F15" s="811"/>
      <c r="G15" s="811">
        <f t="shared" si="0"/>
        <v>0</v>
      </c>
      <c r="H15" s="1169"/>
      <c r="I15" s="1398"/>
    </row>
    <row r="16" spans="1:9" s="1399" customFormat="1" ht="15" customHeight="1">
      <c r="A16" s="1160" t="s">
        <v>665</v>
      </c>
      <c r="B16" s="1161" t="s">
        <v>666</v>
      </c>
      <c r="C16" s="1162">
        <f>SUM(C17:C18)</f>
        <v>386808</v>
      </c>
      <c r="D16" s="1162">
        <f>SUM(D17:D18)</f>
        <v>387422148</v>
      </c>
      <c r="E16" s="1162">
        <f>SUM(E17:E18)</f>
        <v>5753160</v>
      </c>
      <c r="F16" s="1162">
        <f>SUM(F17:F18)</f>
        <v>0</v>
      </c>
      <c r="G16" s="793">
        <f>SUM(D16:F16)</f>
        <v>393175308</v>
      </c>
      <c r="H16" s="1163">
        <f>G16/(C16*1000)</f>
        <v>1.02</v>
      </c>
      <c r="I16" s="1398"/>
    </row>
    <row r="17" spans="1:9" s="1453" customFormat="1" ht="15" customHeight="1">
      <c r="A17" s="1171"/>
      <c r="B17" s="1172" t="s">
        <v>667</v>
      </c>
      <c r="C17" s="717">
        <v>385871</v>
      </c>
      <c r="D17" s="717">
        <v>387422148</v>
      </c>
      <c r="E17" s="717">
        <v>5753160</v>
      </c>
      <c r="F17" s="717"/>
      <c r="G17" s="797">
        <f t="shared" si="0"/>
        <v>393175308</v>
      </c>
      <c r="H17" s="1173">
        <f>G17/(C17*1000)</f>
        <v>1.02</v>
      </c>
      <c r="I17" s="1457"/>
    </row>
    <row r="18" spans="1:9" s="1405" customFormat="1" ht="15" customHeight="1" thickBot="1">
      <c r="A18" s="1171"/>
      <c r="B18" s="1172" t="s">
        <v>668</v>
      </c>
      <c r="C18" s="717">
        <v>937</v>
      </c>
      <c r="D18" s="717"/>
      <c r="E18" s="717"/>
      <c r="F18" s="717"/>
      <c r="G18" s="797">
        <f t="shared" si="0"/>
        <v>0</v>
      </c>
      <c r="H18" s="1173">
        <f>G18/(C18*1000)</f>
        <v>0</v>
      </c>
      <c r="I18" s="1458"/>
    </row>
    <row r="19" spans="1:9" s="1386" customFormat="1" ht="24.75" customHeight="1" thickBot="1">
      <c r="A19" s="1141"/>
      <c r="B19" s="1142" t="s">
        <v>78</v>
      </c>
      <c r="C19" s="1408">
        <f>C10+C11</f>
        <v>400235</v>
      </c>
      <c r="D19" s="1408">
        <f>D10+D11</f>
        <v>396506516</v>
      </c>
      <c r="E19" s="1408">
        <f>E10+E11</f>
        <v>5833160</v>
      </c>
      <c r="F19" s="1409">
        <f>F10+F11</f>
        <v>0</v>
      </c>
      <c r="G19" s="1408">
        <f t="shared" si="0"/>
        <v>402339676</v>
      </c>
      <c r="H19" s="1144">
        <f>G19/(C19*1000)</f>
        <v>1.01</v>
      </c>
      <c r="I19" s="1455"/>
    </row>
    <row r="20" spans="1:8" ht="16.5" thickBot="1">
      <c r="A20" s="1140"/>
      <c r="B20" s="1140"/>
      <c r="C20" s="1140"/>
      <c r="D20" s="1140"/>
      <c r="E20" s="1140"/>
      <c r="F20" s="1140"/>
      <c r="G20" s="1140"/>
      <c r="H20" s="1140"/>
    </row>
    <row r="21" spans="1:8" ht="13.5" customHeight="1">
      <c r="A21" s="805"/>
      <c r="B21" s="806" t="s">
        <v>549</v>
      </c>
      <c r="C21" s="807">
        <f>C3+C5+C6+C8</f>
        <v>13349</v>
      </c>
      <c r="D21" s="807">
        <f>D3+D5+D6+D8</f>
        <v>8706738</v>
      </c>
      <c r="E21" s="807">
        <f>E3+E5+E6+E8</f>
        <v>80000</v>
      </c>
      <c r="F21" s="807">
        <f>F3+F5+F6+F8</f>
        <v>0</v>
      </c>
      <c r="G21" s="807">
        <f aca="true" t="shared" si="1" ref="G21:G27">SUM(D21:F21)</f>
        <v>8786738</v>
      </c>
      <c r="H21" s="808">
        <f>G21/(C21*1000)</f>
        <v>0.66</v>
      </c>
    </row>
    <row r="22" spans="1:8" ht="15.75">
      <c r="A22" s="809"/>
      <c r="B22" s="810" t="s">
        <v>550</v>
      </c>
      <c r="C22" s="811">
        <f>C7+C9+C4</f>
        <v>0</v>
      </c>
      <c r="D22" s="811">
        <f>D7+D9+D4</f>
        <v>0</v>
      </c>
      <c r="E22" s="811">
        <f>E7+E9+E4</f>
        <v>0</v>
      </c>
      <c r="F22" s="811">
        <f>F7+F9+F4</f>
        <v>0</v>
      </c>
      <c r="G22" s="811">
        <f t="shared" si="1"/>
        <v>0</v>
      </c>
      <c r="H22" s="812"/>
    </row>
    <row r="23" spans="1:8" ht="15.75">
      <c r="A23" s="809"/>
      <c r="B23" s="810" t="s">
        <v>551</v>
      </c>
      <c r="C23" s="811">
        <f aca="true" t="shared" si="2" ref="C23:F24">+C14+C17</f>
        <v>385949</v>
      </c>
      <c r="D23" s="811">
        <f t="shared" si="2"/>
        <v>387799778</v>
      </c>
      <c r="E23" s="811">
        <f t="shared" si="2"/>
        <v>5753160</v>
      </c>
      <c r="F23" s="811">
        <f t="shared" si="2"/>
        <v>0</v>
      </c>
      <c r="G23" s="811">
        <f t="shared" si="1"/>
        <v>393552938</v>
      </c>
      <c r="H23" s="812">
        <f>G23/(C23*1000)</f>
        <v>1.02</v>
      </c>
    </row>
    <row r="24" spans="1:8" ht="16.5" thickBot="1">
      <c r="A24" s="813"/>
      <c r="B24" s="814" t="s">
        <v>552</v>
      </c>
      <c r="C24" s="815">
        <f t="shared" si="2"/>
        <v>937</v>
      </c>
      <c r="D24" s="815">
        <f t="shared" si="2"/>
        <v>0</v>
      </c>
      <c r="E24" s="815">
        <f t="shared" si="2"/>
        <v>0</v>
      </c>
      <c r="F24" s="815">
        <f t="shared" si="2"/>
        <v>0</v>
      </c>
      <c r="G24" s="1175">
        <f t="shared" si="1"/>
        <v>0</v>
      </c>
      <c r="H24" s="816">
        <f>G24/(C24*1000)</f>
        <v>0</v>
      </c>
    </row>
    <row r="25" spans="1:8" ht="15.75">
      <c r="A25" s="817"/>
      <c r="B25" s="818" t="s">
        <v>553</v>
      </c>
      <c r="C25" s="819">
        <f aca="true" t="shared" si="3" ref="C25:F26">C21+C23</f>
        <v>399298</v>
      </c>
      <c r="D25" s="819">
        <f t="shared" si="3"/>
        <v>396506516</v>
      </c>
      <c r="E25" s="819">
        <f t="shared" si="3"/>
        <v>5833160</v>
      </c>
      <c r="F25" s="818">
        <f t="shared" si="3"/>
        <v>0</v>
      </c>
      <c r="G25" s="819">
        <f t="shared" si="1"/>
        <v>402339676</v>
      </c>
      <c r="H25" s="820">
        <f>G25/(C25*1000)</f>
        <v>1.01</v>
      </c>
    </row>
    <row r="26" spans="1:8" ht="16.5" thickBot="1">
      <c r="A26" s="821"/>
      <c r="B26" s="822" t="s">
        <v>554</v>
      </c>
      <c r="C26" s="823">
        <f t="shared" si="3"/>
        <v>937</v>
      </c>
      <c r="D26" s="823">
        <f t="shared" si="3"/>
        <v>0</v>
      </c>
      <c r="E26" s="823">
        <f t="shared" si="3"/>
        <v>0</v>
      </c>
      <c r="F26" s="822">
        <f t="shared" si="3"/>
        <v>0</v>
      </c>
      <c r="G26" s="823">
        <f t="shared" si="1"/>
        <v>0</v>
      </c>
      <c r="H26" s="824">
        <f>G26/(C26*1000)</f>
        <v>0</v>
      </c>
    </row>
    <row r="27" spans="1:8" ht="16.5" thickBot="1">
      <c r="A27" s="825"/>
      <c r="B27" s="826" t="s">
        <v>555</v>
      </c>
      <c r="C27" s="827">
        <f>C25+C26</f>
        <v>400235</v>
      </c>
      <c r="D27" s="827">
        <f>D25+D26</f>
        <v>396506516</v>
      </c>
      <c r="E27" s="827">
        <f>E25+E26</f>
        <v>5833160</v>
      </c>
      <c r="F27" s="826">
        <f>F25+F26</f>
        <v>0</v>
      </c>
      <c r="G27" s="827">
        <f t="shared" si="1"/>
        <v>402339676</v>
      </c>
      <c r="H27" s="828">
        <f>G27/(C27*1000)</f>
        <v>1.01</v>
      </c>
    </row>
    <row r="28" ht="16.5" thickBot="1"/>
    <row r="29" spans="1:8" ht="13.5" customHeight="1">
      <c r="A29" s="1904" t="s">
        <v>523</v>
      </c>
      <c r="B29" s="1906" t="s">
        <v>1199</v>
      </c>
      <c r="C29" s="1854" t="s">
        <v>1065</v>
      </c>
      <c r="D29" s="1851" t="s">
        <v>1050</v>
      </c>
      <c r="E29" s="1852"/>
      <c r="F29" s="1852"/>
      <c r="G29" s="1853"/>
      <c r="H29" s="1848" t="s">
        <v>1051</v>
      </c>
    </row>
    <row r="30" spans="1:9" ht="48" thickBot="1">
      <c r="A30" s="1905"/>
      <c r="B30" s="1907"/>
      <c r="C30" s="1855"/>
      <c r="D30" s="1136" t="s">
        <v>287</v>
      </c>
      <c r="E30" s="1136" t="s">
        <v>795</v>
      </c>
      <c r="F30" s="1136" t="s">
        <v>796</v>
      </c>
      <c r="G30" s="1136" t="s">
        <v>65</v>
      </c>
      <c r="H30" s="1849"/>
      <c r="I30" s="1454"/>
    </row>
    <row r="31" spans="1:9" s="1386" customFormat="1" ht="24.75" customHeight="1">
      <c r="A31" s="1381" t="s">
        <v>104</v>
      </c>
      <c r="B31" s="1382" t="s">
        <v>105</v>
      </c>
      <c r="C31" s="1383">
        <v>235834</v>
      </c>
      <c r="D31" s="1383">
        <v>247344848</v>
      </c>
      <c r="E31" s="1383">
        <v>4200000</v>
      </c>
      <c r="F31" s="1383"/>
      <c r="G31" s="1383">
        <f aca="true" t="shared" si="4" ref="G31:G41">SUM(D31:F31)</f>
        <v>251544848</v>
      </c>
      <c r="H31" s="1384">
        <f>G31/(C31*1000)</f>
        <v>1.07</v>
      </c>
      <c r="I31" s="1455"/>
    </row>
    <row r="32" spans="1:9" s="1386" customFormat="1" ht="31.5">
      <c r="A32" s="1387" t="s">
        <v>106</v>
      </c>
      <c r="B32" s="1410" t="s">
        <v>107</v>
      </c>
      <c r="C32" s="1392">
        <v>67980</v>
      </c>
      <c r="D32" s="1392">
        <v>60666780</v>
      </c>
      <c r="E32" s="1392">
        <v>1553160</v>
      </c>
      <c r="F32" s="1392"/>
      <c r="G32" s="1392">
        <f t="shared" si="4"/>
        <v>62219940</v>
      </c>
      <c r="H32" s="1393">
        <f>G32/(C32*1000)</f>
        <v>0.92</v>
      </c>
      <c r="I32" s="1455"/>
    </row>
    <row r="33" spans="1:9" s="1386" customFormat="1" ht="24.75" customHeight="1">
      <c r="A33" s="1387" t="s">
        <v>108</v>
      </c>
      <c r="B33" s="1391" t="s">
        <v>109</v>
      </c>
      <c r="C33" s="1392">
        <v>95484</v>
      </c>
      <c r="D33" s="1392">
        <v>88494888</v>
      </c>
      <c r="E33" s="1392">
        <v>80000</v>
      </c>
      <c r="F33" s="1392"/>
      <c r="G33" s="1392">
        <f t="shared" si="4"/>
        <v>88574888</v>
      </c>
      <c r="H33" s="1393">
        <f>G33/(C33*1000)</f>
        <v>0.93</v>
      </c>
      <c r="I33" s="1455"/>
    </row>
    <row r="34" spans="1:9" s="1386" customFormat="1" ht="24.75" customHeight="1">
      <c r="A34" s="1387" t="s">
        <v>110</v>
      </c>
      <c r="B34" s="1391" t="s">
        <v>111</v>
      </c>
      <c r="C34" s="1392"/>
      <c r="D34" s="1392"/>
      <c r="E34" s="1392"/>
      <c r="F34" s="1392"/>
      <c r="G34" s="1392">
        <f t="shared" si="4"/>
        <v>0</v>
      </c>
      <c r="H34" s="1393"/>
      <c r="I34" s="1455"/>
    </row>
    <row r="35" spans="1:9" s="1386" customFormat="1" ht="24.75" customHeight="1">
      <c r="A35" s="1387" t="s">
        <v>112</v>
      </c>
      <c r="B35" s="1391" t="s">
        <v>113</v>
      </c>
      <c r="C35" s="1392"/>
      <c r="D35" s="1392"/>
      <c r="E35" s="1392"/>
      <c r="F35" s="1392"/>
      <c r="G35" s="1392">
        <f t="shared" si="4"/>
        <v>0</v>
      </c>
      <c r="H35" s="1393"/>
      <c r="I35" s="1455"/>
    </row>
    <row r="36" spans="1:9" s="1386" customFormat="1" ht="24.75" customHeight="1">
      <c r="A36" s="1387" t="s">
        <v>548</v>
      </c>
      <c r="B36" s="1391" t="s">
        <v>121</v>
      </c>
      <c r="C36" s="1392">
        <v>937</v>
      </c>
      <c r="D36" s="1392"/>
      <c r="E36" s="1392"/>
      <c r="F36" s="1392"/>
      <c r="G36" s="1392">
        <f t="shared" si="4"/>
        <v>0</v>
      </c>
      <c r="H36" s="1393">
        <f>G36/(C36*1000)</f>
        <v>0</v>
      </c>
      <c r="I36" s="1455"/>
    </row>
    <row r="37" spans="1:9" s="1386" customFormat="1" ht="24.75" customHeight="1">
      <c r="A37" s="1387" t="s">
        <v>122</v>
      </c>
      <c r="B37" s="1391" t="s">
        <v>123</v>
      </c>
      <c r="C37" s="1392"/>
      <c r="D37" s="1392"/>
      <c r="E37" s="1392"/>
      <c r="F37" s="1392"/>
      <c r="G37" s="1392">
        <f t="shared" si="4"/>
        <v>0</v>
      </c>
      <c r="H37" s="1393"/>
      <c r="I37" s="1455"/>
    </row>
    <row r="38" spans="1:9" s="1386" customFormat="1" ht="24.75" customHeight="1" thickBot="1">
      <c r="A38" s="1394" t="s">
        <v>124</v>
      </c>
      <c r="B38" s="1395" t="s">
        <v>125</v>
      </c>
      <c r="C38" s="1396"/>
      <c r="D38" s="1396"/>
      <c r="E38" s="1396"/>
      <c r="F38" s="1396"/>
      <c r="G38" s="1396">
        <f t="shared" si="4"/>
        <v>0</v>
      </c>
      <c r="H38" s="1411"/>
      <c r="I38" s="1455"/>
    </row>
    <row r="39" spans="1:9" ht="16.5" thickBot="1">
      <c r="A39" s="782" t="s">
        <v>138</v>
      </c>
      <c r="B39" s="783" t="s">
        <v>139</v>
      </c>
      <c r="C39" s="784">
        <f>C31+C32+C33+C34+C35+C36+C37+C38</f>
        <v>400235</v>
      </c>
      <c r="D39" s="784">
        <f>D31+D32+D33+D34+D35+D36+D37+D38</f>
        <v>396506516</v>
      </c>
      <c r="E39" s="784">
        <f>E31+E32+E33+E34+E35+E36+E37+E38</f>
        <v>5833160</v>
      </c>
      <c r="F39" s="784">
        <f>F31+F32+F33+F34+F35+F36+F37+F38</f>
        <v>0</v>
      </c>
      <c r="G39" s="1139">
        <f t="shared" si="4"/>
        <v>402339676</v>
      </c>
      <c r="H39" s="786">
        <f>G39/(C39*1000)</f>
        <v>1.01</v>
      </c>
      <c r="I39" s="1454"/>
    </row>
    <row r="40" spans="1:9" s="1386" customFormat="1" ht="24.75" customHeight="1" thickBot="1">
      <c r="A40" s="1437" t="s">
        <v>129</v>
      </c>
      <c r="B40" s="1438" t="s">
        <v>130</v>
      </c>
      <c r="C40" s="1439"/>
      <c r="D40" s="1439"/>
      <c r="E40" s="1439"/>
      <c r="F40" s="1439"/>
      <c r="G40" s="1439">
        <f t="shared" si="4"/>
        <v>0</v>
      </c>
      <c r="H40" s="1440"/>
      <c r="I40" s="1455"/>
    </row>
    <row r="41" spans="1:9" s="1449" customFormat="1" ht="24.75" customHeight="1" thickBot="1">
      <c r="A41" s="1141"/>
      <c r="B41" s="1142" t="s">
        <v>77</v>
      </c>
      <c r="C41" s="1408">
        <f>C40+C39</f>
        <v>400235</v>
      </c>
      <c r="D41" s="1408">
        <f>D40+D39</f>
        <v>396506516</v>
      </c>
      <c r="E41" s="1408">
        <f>E40+E39</f>
        <v>5833160</v>
      </c>
      <c r="F41" s="1409">
        <f>F40+F39</f>
        <v>0</v>
      </c>
      <c r="G41" s="1408">
        <f t="shared" si="4"/>
        <v>402339676</v>
      </c>
      <c r="H41" s="1144">
        <f>G41/(C41*1000)</f>
        <v>1.01</v>
      </c>
      <c r="I41" s="1459"/>
    </row>
    <row r="42" spans="1:8" ht="16.5" thickBot="1">
      <c r="A42" s="800"/>
      <c r="B42" s="801"/>
      <c r="C42" s="802"/>
      <c r="D42" s="802"/>
      <c r="E42" s="802"/>
      <c r="F42" s="803"/>
      <c r="G42" s="803"/>
      <c r="H42" s="804"/>
    </row>
    <row r="43" spans="1:8" ht="15.75">
      <c r="A43" s="805"/>
      <c r="B43" s="806" t="s">
        <v>158</v>
      </c>
      <c r="C43" s="807">
        <f>C31+C32+C33+C34+C35</f>
        <v>399298</v>
      </c>
      <c r="D43" s="807">
        <f>D31+D32+D33+D34+D35</f>
        <v>396506516</v>
      </c>
      <c r="E43" s="807">
        <f>E31+E32+E33+E34+E35</f>
        <v>5833160</v>
      </c>
      <c r="F43" s="807">
        <f>F31+F32+F33+F34+F35</f>
        <v>0</v>
      </c>
      <c r="G43" s="807">
        <f>SUM(D43:F43)</f>
        <v>402339676</v>
      </c>
      <c r="H43" s="808">
        <f>G43/(C43*1000)</f>
        <v>1.01</v>
      </c>
    </row>
    <row r="44" spans="1:8" ht="15.75">
      <c r="A44" s="809"/>
      <c r="B44" s="810" t="s">
        <v>159</v>
      </c>
      <c r="C44" s="811">
        <f>C36+C37+C38</f>
        <v>937</v>
      </c>
      <c r="D44" s="811">
        <f>D36+D37+D38</f>
        <v>0</v>
      </c>
      <c r="E44" s="811">
        <f>E36+E37+E38</f>
        <v>0</v>
      </c>
      <c r="F44" s="811">
        <f>F36+F37+F38</f>
        <v>0</v>
      </c>
      <c r="G44" s="811">
        <f>G36+G37+G38</f>
        <v>0</v>
      </c>
      <c r="H44" s="812">
        <f>G44/(C44*1000)</f>
        <v>0</v>
      </c>
    </row>
    <row r="45" spans="1:8" ht="15.75">
      <c r="A45" s="809"/>
      <c r="B45" s="810" t="s">
        <v>160</v>
      </c>
      <c r="C45" s="811">
        <f>C40</f>
        <v>0</v>
      </c>
      <c r="D45" s="811">
        <f>D40</f>
        <v>0</v>
      </c>
      <c r="E45" s="811">
        <f>E40</f>
        <v>0</v>
      </c>
      <c r="F45" s="811">
        <f>F40</f>
        <v>0</v>
      </c>
      <c r="G45" s="811">
        <f>SUM(D45:F45)</f>
        <v>0</v>
      </c>
      <c r="H45" s="812"/>
    </row>
    <row r="46" spans="1:8" ht="16.5" thickBot="1">
      <c r="A46" s="813"/>
      <c r="B46" s="814" t="s">
        <v>161</v>
      </c>
      <c r="C46" s="815">
        <f>C40</f>
        <v>0</v>
      </c>
      <c r="D46" s="815">
        <f>D40</f>
        <v>0</v>
      </c>
      <c r="E46" s="815">
        <f>E40</f>
        <v>0</v>
      </c>
      <c r="F46" s="815">
        <f>F40</f>
        <v>0</v>
      </c>
      <c r="G46" s="815">
        <f>G40</f>
        <v>0</v>
      </c>
      <c r="H46" s="816"/>
    </row>
    <row r="47" spans="1:8" ht="15.75">
      <c r="A47" s="817"/>
      <c r="B47" s="818" t="s">
        <v>162</v>
      </c>
      <c r="C47" s="819">
        <f aca="true" t="shared" si="5" ref="C47:F48">C43+C45</f>
        <v>399298</v>
      </c>
      <c r="D47" s="819">
        <f t="shared" si="5"/>
        <v>396506516</v>
      </c>
      <c r="E47" s="819">
        <f t="shared" si="5"/>
        <v>5833160</v>
      </c>
      <c r="F47" s="818">
        <f t="shared" si="5"/>
        <v>0</v>
      </c>
      <c r="G47" s="819">
        <f>SUM(D47:F47)</f>
        <v>402339676</v>
      </c>
      <c r="H47" s="820">
        <f>G47/(C47*1000)</f>
        <v>1.01</v>
      </c>
    </row>
    <row r="48" spans="1:8" ht="16.5" thickBot="1">
      <c r="A48" s="821"/>
      <c r="B48" s="822" t="s">
        <v>163</v>
      </c>
      <c r="C48" s="823">
        <f t="shared" si="5"/>
        <v>937</v>
      </c>
      <c r="D48" s="823">
        <f t="shared" si="5"/>
        <v>0</v>
      </c>
      <c r="E48" s="823">
        <f t="shared" si="5"/>
        <v>0</v>
      </c>
      <c r="F48" s="822">
        <f t="shared" si="5"/>
        <v>0</v>
      </c>
      <c r="G48" s="823">
        <f>SUM(D48:F48)</f>
        <v>0</v>
      </c>
      <c r="H48" s="824">
        <f>G48/(C48*1000)</f>
        <v>0</v>
      </c>
    </row>
    <row r="49" spans="1:8" ht="16.5" thickBot="1">
      <c r="A49" s="825"/>
      <c r="B49" s="826" t="s">
        <v>164</v>
      </c>
      <c r="C49" s="827">
        <f>C47+C48</f>
        <v>400235</v>
      </c>
      <c r="D49" s="827">
        <f>D47+D48</f>
        <v>396506516</v>
      </c>
      <c r="E49" s="827">
        <f>E47+E48</f>
        <v>5833160</v>
      </c>
      <c r="F49" s="826">
        <f>F47+F48</f>
        <v>0</v>
      </c>
      <c r="G49" s="827">
        <f>SUM(D49:F49)</f>
        <v>402339676</v>
      </c>
      <c r="H49" s="828">
        <f>G49/(C49*1000)</f>
        <v>1.01</v>
      </c>
    </row>
  </sheetData>
  <sheetProtection/>
  <mergeCells count="10">
    <mergeCell ref="H1:H2"/>
    <mergeCell ref="A29:A30"/>
    <mergeCell ref="B29:B30"/>
    <mergeCell ref="C29:C30"/>
    <mergeCell ref="D29:G29"/>
    <mergeCell ref="H29:H30"/>
    <mergeCell ref="A1:A2"/>
    <mergeCell ref="D1:G1"/>
    <mergeCell ref="C1:C2"/>
    <mergeCell ref="B1:B2"/>
  </mergeCells>
  <printOptions horizontalCentered="1"/>
  <pageMargins left="0.3937007874015748" right="0.3937007874015748" top="0.7874015748031497" bottom="0.7874015748031497" header="0.3937007874015748" footer="0.3937007874015748"/>
  <pageSetup fitToHeight="2" horizontalDpi="300" verticalDpi="300" orientation="landscape" paperSize="9" scale="89" r:id="rId1"/>
  <headerFooter alignWithMargins="0">
    <oddHeader>&amp;C&amp;"Times New Roman,Félkövér"PESTERZSÉBETI NYITNIKÉK ÓVODA
 2017. ÉVI BEVÉTELEI ÉS KIADÁSAI 
&amp;R&amp;"Times New Roman,Félkövér"4.15. sz. melléklet&amp;"MS Sans Serif,Normál"
</oddHeader>
  </headerFooter>
  <rowBreaks count="1" manualBreakCount="1">
    <brk id="28" max="7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sheetPr codeName="Munka74">
    <pageSetUpPr fitToPage="1"/>
  </sheetPr>
  <dimension ref="A1:H13"/>
  <sheetViews>
    <sheetView zoomScale="80" zoomScaleNormal="80" zoomScalePageLayoutView="0" workbookViewId="0" topLeftCell="A1">
      <pane ySplit="1" topLeftCell="A2" activePane="bottomLeft" state="frozen"/>
      <selection pane="topLeft" activeCell="D16" sqref="D16"/>
      <selection pane="bottomLeft" activeCell="H24" sqref="H24"/>
    </sheetView>
  </sheetViews>
  <sheetFormatPr defaultColWidth="9.140625" defaultRowHeight="12.75"/>
  <cols>
    <col min="1" max="1" width="9.140625" style="694" customWidth="1"/>
    <col min="2" max="2" width="58.8515625" style="694" customWidth="1"/>
    <col min="3" max="8" width="18.28125" style="694" customWidth="1"/>
    <col min="9" max="16384" width="9.140625" style="694" customWidth="1"/>
  </cols>
  <sheetData>
    <row r="1" spans="1:8" ht="13.5" customHeight="1">
      <c r="A1" s="1928" t="s">
        <v>523</v>
      </c>
      <c r="B1" s="1906" t="s">
        <v>511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8" ht="48" thickBot="1">
      <c r="A2" s="1929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8" ht="15.75">
      <c r="A3" s="1472" t="s">
        <v>213</v>
      </c>
      <c r="B3" s="1473" t="s">
        <v>214</v>
      </c>
      <c r="C3" s="709"/>
      <c r="D3" s="709"/>
      <c r="E3" s="708"/>
      <c r="F3" s="708"/>
      <c r="G3" s="709">
        <f>SUM(D3:F3)</f>
        <v>0</v>
      </c>
      <c r="H3" s="721"/>
    </row>
    <row r="4" spans="1:8" ht="15" customHeight="1">
      <c r="A4" s="1474" t="s">
        <v>215</v>
      </c>
      <c r="B4" s="1475" t="s">
        <v>216</v>
      </c>
      <c r="C4" s="695"/>
      <c r="D4" s="695"/>
      <c r="E4" s="695"/>
      <c r="F4" s="695"/>
      <c r="G4" s="695">
        <f>SUM(D4:F4)</f>
        <v>0</v>
      </c>
      <c r="H4" s="1427"/>
    </row>
    <row r="5" spans="1:8" ht="15" customHeight="1">
      <c r="A5" s="1474" t="s">
        <v>534</v>
      </c>
      <c r="B5" s="1475" t="s">
        <v>535</v>
      </c>
      <c r="C5" s="700"/>
      <c r="D5" s="695"/>
      <c r="E5" s="1428"/>
      <c r="F5" s="1428"/>
      <c r="G5" s="700">
        <f aca="true" t="shared" si="0" ref="G5:G13">SUM(D5:F5)</f>
        <v>0</v>
      </c>
      <c r="H5" s="701"/>
    </row>
    <row r="6" spans="1:8" ht="15" customHeight="1">
      <c r="A6" s="1474" t="s">
        <v>536</v>
      </c>
      <c r="B6" s="1475" t="s">
        <v>537</v>
      </c>
      <c r="C6" s="695">
        <f>C7+C9</f>
        <v>738</v>
      </c>
      <c r="D6" s="695">
        <f>D7+D9</f>
        <v>0</v>
      </c>
      <c r="E6" s="695">
        <f>E7+E9</f>
        <v>0</v>
      </c>
      <c r="F6" s="695">
        <f>F7+F9</f>
        <v>0</v>
      </c>
      <c r="G6" s="702">
        <f t="shared" si="0"/>
        <v>0</v>
      </c>
      <c r="H6" s="701">
        <f>G6/C6</f>
        <v>0</v>
      </c>
    </row>
    <row r="7" spans="1:8" ht="15" customHeight="1">
      <c r="A7" s="1476"/>
      <c r="B7" s="1477" t="s">
        <v>538</v>
      </c>
      <c r="C7" s="1430">
        <f>SUM(C8:C8)</f>
        <v>738</v>
      </c>
      <c r="D7" s="1430">
        <f>SUM(D8:D8)</f>
        <v>0</v>
      </c>
      <c r="E7" s="1430">
        <f>SUM(E8:E8)</f>
        <v>0</v>
      </c>
      <c r="F7" s="1430">
        <f>SUM(F8:F8)</f>
        <v>0</v>
      </c>
      <c r="G7" s="1431">
        <f t="shared" si="0"/>
        <v>0</v>
      </c>
      <c r="H7" s="1432">
        <f>G7/C7</f>
        <v>0</v>
      </c>
    </row>
    <row r="8" spans="1:8" ht="15" customHeight="1">
      <c r="A8" s="1476"/>
      <c r="B8" s="1478" t="s">
        <v>557</v>
      </c>
      <c r="C8" s="696">
        <v>738</v>
      </c>
      <c r="D8" s="696"/>
      <c r="E8" s="696"/>
      <c r="F8" s="696"/>
      <c r="G8" s="703">
        <f t="shared" si="0"/>
        <v>0</v>
      </c>
      <c r="H8" s="698">
        <f>G8/C8</f>
        <v>0</v>
      </c>
    </row>
    <row r="9" spans="1:8" ht="15.75">
      <c r="A9" s="1476"/>
      <c r="B9" s="1477" t="s">
        <v>540</v>
      </c>
      <c r="C9" s="696"/>
      <c r="D9" s="696"/>
      <c r="E9" s="696"/>
      <c r="F9" s="696"/>
      <c r="G9" s="717">
        <f t="shared" si="0"/>
        <v>0</v>
      </c>
      <c r="H9" s="699"/>
    </row>
    <row r="10" spans="1:8" ht="15.75">
      <c r="A10" s="1474" t="s">
        <v>541</v>
      </c>
      <c r="B10" s="1475" t="s">
        <v>542</v>
      </c>
      <c r="C10" s="700"/>
      <c r="D10" s="700"/>
      <c r="E10" s="700"/>
      <c r="F10" s="700"/>
      <c r="G10" s="700">
        <f t="shared" si="0"/>
        <v>0</v>
      </c>
      <c r="H10" s="1434"/>
    </row>
    <row r="11" spans="1:8" ht="15.75">
      <c r="A11" s="1474" t="s">
        <v>543</v>
      </c>
      <c r="B11" s="1475" t="s">
        <v>546</v>
      </c>
      <c r="C11" s="700"/>
      <c r="D11" s="700"/>
      <c r="E11" s="700"/>
      <c r="F11" s="700"/>
      <c r="G11" s="700">
        <f t="shared" si="0"/>
        <v>0</v>
      </c>
      <c r="H11" s="1434"/>
    </row>
    <row r="12" spans="1:8" ht="16.5" thickBot="1">
      <c r="A12" s="1479" t="s">
        <v>544</v>
      </c>
      <c r="B12" s="1480" t="s">
        <v>545</v>
      </c>
      <c r="C12" s="704">
        <f>(C3+C4+C5+C6)*27%</f>
        <v>199</v>
      </c>
      <c r="D12" s="704">
        <f>((D3+D4+D5+D6)*27%)</f>
        <v>0</v>
      </c>
      <c r="E12" s="704">
        <f>(E3+E4+E5+E6)*27%</f>
        <v>0</v>
      </c>
      <c r="F12" s="704">
        <f>(F3+F4+F5+F6)*27%</f>
        <v>0</v>
      </c>
      <c r="G12" s="704">
        <f t="shared" si="0"/>
        <v>0</v>
      </c>
      <c r="H12" s="705">
        <f>G12/C12</f>
        <v>0</v>
      </c>
    </row>
    <row r="13" spans="1:8" s="1343" customFormat="1" ht="35.25" customHeight="1" thickBot="1">
      <c r="A13" s="1481"/>
      <c r="B13" s="719" t="s">
        <v>547</v>
      </c>
      <c r="C13" s="693">
        <f>C3+C4+C5+C6+C10+C11+C12</f>
        <v>937</v>
      </c>
      <c r="D13" s="693">
        <f>D3+D4+D5+D6+D10+D11+D12</f>
        <v>0</v>
      </c>
      <c r="E13" s="693">
        <f>E3+E4+E5+E6+E10+E11+E12</f>
        <v>0</v>
      </c>
      <c r="F13" s="693">
        <f>F3+F4+F5+F6+F10+F11+F12</f>
        <v>0</v>
      </c>
      <c r="G13" s="693">
        <f t="shared" si="0"/>
        <v>0</v>
      </c>
      <c r="H13" s="706">
        <f>G13/C13</f>
        <v>0</v>
      </c>
    </row>
  </sheetData>
  <sheetProtection/>
  <mergeCells count="5">
    <mergeCell ref="A1:A2"/>
    <mergeCell ref="H1:H2"/>
    <mergeCell ref="C1:C2"/>
    <mergeCell ref="B1:B2"/>
    <mergeCell ref="D1:G1"/>
  </mergeCells>
  <printOptions horizontalCentered="1"/>
  <pageMargins left="0.5905511811023623" right="0.5905511811023623" top="0.984251968503937" bottom="1.1811023622047245" header="0.3937007874015748" footer="0.3937007874015748"/>
  <pageSetup fitToHeight="1" fitToWidth="1" orientation="landscape" paperSize="9" scale="77" r:id="rId1"/>
  <headerFooter alignWithMargins="0">
    <oddHeader>&amp;C&amp;"Times New Roman,Normál"PESTERZSÉBETI NYITNIKÉK ÓVODA 
2017. ÉVI BERUHÁZÁSI KIADÁSAI 
&amp;R&amp;"Times New Roman,Normál"4.16. sz. melléklet&amp;"MS Sans Serif,Normál"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C57" sqref="C57"/>
    </sheetView>
  </sheetViews>
  <sheetFormatPr defaultColWidth="9.140625" defaultRowHeight="12.75"/>
  <cols>
    <col min="1" max="1" width="21.8515625" style="0" customWidth="1"/>
    <col min="2" max="2" width="9.8515625" style="5" customWidth="1"/>
    <col min="3" max="3" width="58.421875" style="0" customWidth="1"/>
    <col min="4" max="4" width="9.140625" style="0" hidden="1" customWidth="1"/>
  </cols>
  <sheetData>
    <row r="1" spans="1:4" ht="13.5" thickBot="1">
      <c r="A1" s="1755" t="s">
        <v>493</v>
      </c>
      <c r="B1" s="1756"/>
      <c r="C1" s="1757"/>
      <c r="D1" s="433"/>
    </row>
    <row r="2" spans="1:4" ht="31.5" customHeight="1" thickBot="1">
      <c r="A2" s="1754" t="s">
        <v>268</v>
      </c>
      <c r="B2" s="1754"/>
      <c r="C2" s="1754"/>
      <c r="D2" s="1754"/>
    </row>
    <row r="3" spans="1:3" ht="26.25" thickBot="1">
      <c r="A3" s="432" t="s">
        <v>491</v>
      </c>
      <c r="B3" s="435" t="s">
        <v>492</v>
      </c>
      <c r="C3" s="432" t="s">
        <v>717</v>
      </c>
    </row>
    <row r="4" spans="1:3" ht="13.5" customHeight="1">
      <c r="A4" s="1751" t="s">
        <v>255</v>
      </c>
      <c r="B4" s="1752"/>
      <c r="C4" s="1753"/>
    </row>
    <row r="5" spans="1:3" ht="12.75">
      <c r="A5" s="430" t="s">
        <v>490</v>
      </c>
      <c r="B5" s="5">
        <v>1</v>
      </c>
      <c r="C5" t="s">
        <v>1305</v>
      </c>
    </row>
    <row r="6" spans="1:3" ht="25.5">
      <c r="A6" s="430" t="s">
        <v>248</v>
      </c>
      <c r="B6" s="440" t="s">
        <v>247</v>
      </c>
      <c r="C6" s="434" t="s">
        <v>1306</v>
      </c>
    </row>
    <row r="7" spans="1:3" ht="25.5">
      <c r="A7" s="430" t="s">
        <v>251</v>
      </c>
      <c r="B7" s="440" t="s">
        <v>249</v>
      </c>
      <c r="C7" s="434" t="s">
        <v>71</v>
      </c>
    </row>
    <row r="8" spans="1:3" ht="12.75">
      <c r="A8" s="430" t="s">
        <v>591</v>
      </c>
      <c r="B8" s="440" t="s">
        <v>250</v>
      </c>
      <c r="C8" s="454" t="s">
        <v>524</v>
      </c>
    </row>
    <row r="9" spans="1:3" ht="25.5">
      <c r="A9" s="430" t="s">
        <v>592</v>
      </c>
      <c r="B9" s="440" t="s">
        <v>252</v>
      </c>
      <c r="C9" s="434" t="s">
        <v>1307</v>
      </c>
    </row>
    <row r="10" spans="1:3" ht="25.5">
      <c r="A10" s="430" t="s">
        <v>593</v>
      </c>
      <c r="B10" s="440" t="s">
        <v>253</v>
      </c>
      <c r="C10" s="434" t="s">
        <v>1308</v>
      </c>
    </row>
    <row r="11" spans="1:3" ht="13.5" customHeight="1">
      <c r="A11" s="1751" t="s">
        <v>254</v>
      </c>
      <c r="B11" s="1752"/>
      <c r="C11" s="1753"/>
    </row>
    <row r="12" spans="1:3" ht="12.75">
      <c r="A12" s="430" t="s">
        <v>266</v>
      </c>
      <c r="B12" s="439" t="s">
        <v>256</v>
      </c>
      <c r="C12" t="s">
        <v>1309</v>
      </c>
    </row>
    <row r="13" spans="1:3" ht="25.5">
      <c r="A13" s="430" t="s">
        <v>368</v>
      </c>
      <c r="B13" s="5" t="s">
        <v>257</v>
      </c>
      <c r="C13" s="434" t="s">
        <v>1310</v>
      </c>
    </row>
    <row r="14" spans="1:3" ht="12.75">
      <c r="A14" s="430" t="s">
        <v>267</v>
      </c>
      <c r="B14" s="439" t="s">
        <v>258</v>
      </c>
      <c r="C14" t="s">
        <v>1311</v>
      </c>
    </row>
    <row r="15" spans="1:3" ht="12.75">
      <c r="A15" s="430" t="s">
        <v>669</v>
      </c>
      <c r="B15" s="5" t="s">
        <v>259</v>
      </c>
      <c r="C15" t="s">
        <v>1312</v>
      </c>
    </row>
    <row r="16" spans="1:3" ht="25.5">
      <c r="A16" s="430" t="s">
        <v>670</v>
      </c>
      <c r="B16" s="439" t="s">
        <v>260</v>
      </c>
      <c r="C16" s="434" t="s">
        <v>1313</v>
      </c>
    </row>
    <row r="17" spans="1:3" ht="25.5">
      <c r="A17" s="430" t="s">
        <v>594</v>
      </c>
      <c r="B17" s="5" t="s">
        <v>261</v>
      </c>
      <c r="C17" s="434" t="s">
        <v>495</v>
      </c>
    </row>
    <row r="18" spans="1:3" ht="12.75">
      <c r="A18" s="430" t="s">
        <v>671</v>
      </c>
      <c r="B18" s="439" t="s">
        <v>262</v>
      </c>
      <c r="C18" t="s">
        <v>1314</v>
      </c>
    </row>
    <row r="19" spans="1:3" ht="12.75">
      <c r="A19" s="430" t="s">
        <v>672</v>
      </c>
      <c r="B19" s="5" t="s">
        <v>263</v>
      </c>
      <c r="C19" t="s">
        <v>1315</v>
      </c>
    </row>
    <row r="20" spans="1:3" ht="25.5">
      <c r="A20" s="430" t="s">
        <v>673</v>
      </c>
      <c r="B20" s="439" t="s">
        <v>264</v>
      </c>
      <c r="C20" s="434" t="s">
        <v>496</v>
      </c>
    </row>
    <row r="21" spans="1:3" ht="25.5">
      <c r="A21" s="430" t="s">
        <v>369</v>
      </c>
      <c r="B21" s="5" t="s">
        <v>265</v>
      </c>
      <c r="C21" s="437" t="s">
        <v>1316</v>
      </c>
    </row>
    <row r="22" spans="1:3" ht="25.5">
      <c r="A22" s="430" t="s">
        <v>370</v>
      </c>
      <c r="B22" s="439" t="s">
        <v>595</v>
      </c>
      <c r="C22" s="434" t="s">
        <v>1317</v>
      </c>
    </row>
    <row r="23" spans="1:3" ht="18.75" customHeight="1">
      <c r="A23" s="1751" t="s">
        <v>527</v>
      </c>
      <c r="B23" s="1752"/>
      <c r="C23" s="1753"/>
    </row>
    <row r="24" spans="1:3" ht="25.5">
      <c r="A24" s="430" t="s">
        <v>596</v>
      </c>
      <c r="B24" s="5" t="s">
        <v>528</v>
      </c>
      <c r="C24" s="437" t="s">
        <v>1318</v>
      </c>
    </row>
    <row r="25" spans="1:3" ht="25.5">
      <c r="A25" s="430" t="s">
        <v>597</v>
      </c>
      <c r="B25" s="439" t="s">
        <v>529</v>
      </c>
      <c r="C25" s="437" t="s">
        <v>1319</v>
      </c>
    </row>
    <row r="26" spans="1:3" ht="25.5">
      <c r="A26" s="430" t="s">
        <v>598</v>
      </c>
      <c r="B26" s="5" t="s">
        <v>530</v>
      </c>
      <c r="C26" s="437" t="s">
        <v>1320</v>
      </c>
    </row>
    <row r="27" spans="1:3" ht="38.25">
      <c r="A27" s="430" t="s">
        <v>599</v>
      </c>
      <c r="B27" s="439" t="s">
        <v>531</v>
      </c>
      <c r="C27" s="437" t="s">
        <v>1321</v>
      </c>
    </row>
    <row r="28" spans="1:3" ht="25.5">
      <c r="A28" s="430" t="s">
        <v>601</v>
      </c>
      <c r="B28" s="5" t="s">
        <v>532</v>
      </c>
      <c r="C28" s="437" t="s">
        <v>1322</v>
      </c>
    </row>
    <row r="29" spans="1:3" ht="25.5">
      <c r="A29" s="430" t="s">
        <v>602</v>
      </c>
      <c r="B29" s="439" t="s">
        <v>533</v>
      </c>
      <c r="C29" s="437" t="s">
        <v>1323</v>
      </c>
    </row>
    <row r="30" spans="1:3" ht="38.25">
      <c r="A30" s="430" t="s">
        <v>371</v>
      </c>
      <c r="B30" s="5" t="s">
        <v>600</v>
      </c>
      <c r="C30" s="437" t="s">
        <v>1324</v>
      </c>
    </row>
    <row r="31" spans="1:3" ht="17.25" customHeight="1">
      <c r="A31" s="1751" t="s">
        <v>79</v>
      </c>
      <c r="B31" s="1752"/>
      <c r="C31" s="1753"/>
    </row>
    <row r="32" spans="1:3" ht="12.75">
      <c r="A32" s="430" t="s">
        <v>603</v>
      </c>
      <c r="B32" s="5">
        <v>4</v>
      </c>
      <c r="C32" s="437" t="s">
        <v>1325</v>
      </c>
    </row>
    <row r="33" spans="1:3" ht="25.5">
      <c r="A33" s="430" t="s">
        <v>604</v>
      </c>
      <c r="B33" s="5" t="s">
        <v>80</v>
      </c>
      <c r="C33" s="437" t="s">
        <v>1326</v>
      </c>
    </row>
    <row r="34" spans="1:3" ht="25.5">
      <c r="A34" s="430" t="s">
        <v>605</v>
      </c>
      <c r="B34" s="5" t="s">
        <v>81</v>
      </c>
      <c r="C34" s="437" t="s">
        <v>1326</v>
      </c>
    </row>
    <row r="35" spans="1:3" ht="25.5">
      <c r="A35" s="430" t="s">
        <v>606</v>
      </c>
      <c r="B35" s="5" t="s">
        <v>82</v>
      </c>
      <c r="C35" s="437" t="s">
        <v>1327</v>
      </c>
    </row>
    <row r="36" spans="1:3" ht="25.5">
      <c r="A36" s="430" t="s">
        <v>607</v>
      </c>
      <c r="B36" s="5" t="s">
        <v>83</v>
      </c>
      <c r="C36" s="437" t="s">
        <v>1328</v>
      </c>
    </row>
    <row r="37" spans="1:3" ht="12.75">
      <c r="A37" s="430" t="s">
        <v>608</v>
      </c>
      <c r="B37" s="5" t="s">
        <v>84</v>
      </c>
      <c r="C37" s="437" t="s">
        <v>1329</v>
      </c>
    </row>
    <row r="38" spans="1:3" ht="12.75">
      <c r="A38" s="430" t="s">
        <v>609</v>
      </c>
      <c r="B38" s="5" t="s">
        <v>85</v>
      </c>
      <c r="C38" s="437" t="s">
        <v>1330</v>
      </c>
    </row>
    <row r="39" spans="1:3" ht="12.75">
      <c r="A39" s="430" t="s">
        <v>610</v>
      </c>
      <c r="B39" s="5" t="s">
        <v>86</v>
      </c>
      <c r="C39" s="437" t="s">
        <v>1331</v>
      </c>
    </row>
    <row r="40" spans="1:3" ht="12.75">
      <c r="A40" s="430" t="s">
        <v>611</v>
      </c>
      <c r="B40" s="5" t="s">
        <v>87</v>
      </c>
      <c r="C40" s="437" t="s">
        <v>1332</v>
      </c>
    </row>
    <row r="41" spans="1:3" ht="25.5">
      <c r="A41" s="430" t="s">
        <v>612</v>
      </c>
      <c r="B41" s="5" t="s">
        <v>88</v>
      </c>
      <c r="C41" s="437" t="s">
        <v>1333</v>
      </c>
    </row>
    <row r="42" spans="1:3" ht="25.5">
      <c r="A42" s="430" t="s">
        <v>613</v>
      </c>
      <c r="B42" s="5" t="s">
        <v>89</v>
      </c>
      <c r="C42" s="437" t="s">
        <v>1334</v>
      </c>
    </row>
    <row r="43" spans="1:3" ht="12.75">
      <c r="A43" s="430" t="s">
        <v>614</v>
      </c>
      <c r="B43" s="5" t="s">
        <v>90</v>
      </c>
      <c r="C43" s="437" t="s">
        <v>1335</v>
      </c>
    </row>
    <row r="44" spans="1:3" ht="12.75">
      <c r="A44" s="430" t="s">
        <v>615</v>
      </c>
      <c r="B44" s="5" t="s">
        <v>91</v>
      </c>
      <c r="C44" s="437" t="s">
        <v>1336</v>
      </c>
    </row>
    <row r="45" spans="1:3" ht="12.75">
      <c r="A45" s="430" t="s">
        <v>616</v>
      </c>
      <c r="B45" s="5" t="s">
        <v>92</v>
      </c>
      <c r="C45" s="437" t="s">
        <v>1337</v>
      </c>
    </row>
    <row r="46" spans="1:3" ht="12.75">
      <c r="A46" s="430" t="s">
        <v>617</v>
      </c>
      <c r="B46" s="5" t="s">
        <v>93</v>
      </c>
      <c r="C46" s="437" t="s">
        <v>1338</v>
      </c>
    </row>
    <row r="47" spans="1:3" ht="12.75">
      <c r="A47" s="430" t="s">
        <v>618</v>
      </c>
      <c r="B47" s="5" t="s">
        <v>94</v>
      </c>
      <c r="C47" s="437" t="s">
        <v>1339</v>
      </c>
    </row>
    <row r="48" spans="1:3" ht="12.75">
      <c r="A48" s="430" t="s">
        <v>619</v>
      </c>
      <c r="B48" s="5" t="s">
        <v>95</v>
      </c>
      <c r="C48" s="437" t="s">
        <v>1340</v>
      </c>
    </row>
    <row r="49" spans="1:3" ht="25.5">
      <c r="A49" s="430" t="s">
        <v>620</v>
      </c>
      <c r="B49" s="5" t="s">
        <v>96</v>
      </c>
      <c r="C49" s="437" t="s">
        <v>1341</v>
      </c>
    </row>
    <row r="50" spans="1:3" ht="25.5">
      <c r="A50" s="430" t="s">
        <v>621</v>
      </c>
      <c r="B50" s="5" t="s">
        <v>97</v>
      </c>
      <c r="C50" s="437" t="s">
        <v>1342</v>
      </c>
    </row>
    <row r="51" spans="1:3" ht="12.75">
      <c r="A51" s="430" t="s">
        <v>622</v>
      </c>
      <c r="B51" s="5" t="s">
        <v>98</v>
      </c>
      <c r="C51" s="437" t="s">
        <v>1343</v>
      </c>
    </row>
    <row r="52" spans="1:3" ht="12.75">
      <c r="A52" s="430" t="s">
        <v>623</v>
      </c>
      <c r="B52" s="5" t="s">
        <v>99</v>
      </c>
      <c r="C52" s="437" t="s">
        <v>1344</v>
      </c>
    </row>
    <row r="53" spans="1:3" ht="12.75">
      <c r="A53" s="430" t="s">
        <v>624</v>
      </c>
      <c r="B53" s="5" t="s">
        <v>100</v>
      </c>
      <c r="C53" s="437" t="s">
        <v>1345</v>
      </c>
    </row>
    <row r="54" spans="1:3" ht="12.75">
      <c r="A54" s="430" t="s">
        <v>625</v>
      </c>
      <c r="B54" s="5" t="s">
        <v>101</v>
      </c>
      <c r="C54" s="437" t="s">
        <v>1346</v>
      </c>
    </row>
    <row r="55" spans="1:3" ht="25.5">
      <c r="A55" s="430" t="s">
        <v>626</v>
      </c>
      <c r="B55" s="5" t="s">
        <v>102</v>
      </c>
      <c r="C55" s="437" t="s">
        <v>1347</v>
      </c>
    </row>
    <row r="56" spans="1:3" ht="12.75">
      <c r="A56" s="430" t="s">
        <v>372</v>
      </c>
      <c r="B56" s="5" t="s">
        <v>103</v>
      </c>
      <c r="C56" s="437" t="s">
        <v>1348</v>
      </c>
    </row>
    <row r="57" ht="12.75">
      <c r="A57" s="430"/>
    </row>
  </sheetData>
  <sheetProtection/>
  <mergeCells count="6">
    <mergeCell ref="A31:C31"/>
    <mergeCell ref="A2:D2"/>
    <mergeCell ref="A11:C11"/>
    <mergeCell ref="A1:C1"/>
    <mergeCell ref="A23:C23"/>
    <mergeCell ref="A4:C4"/>
  </mergeCells>
  <hyperlinks>
    <hyperlink ref="A5" location="'1.Összesítő'!A1" display="'1.Összesítő'!A1"/>
    <hyperlink ref="A6" location="'1.1.KTV-I mérleg'!A1" display="'1.1.KTV-I mérleg'!A1"/>
    <hyperlink ref="A7" location="'1.2.Többéves kihat'!A1" display="'1.2.Többéves kihat'!A1"/>
    <hyperlink ref="A12" location="'2.1.Bevétel'!A1" display="'2.1.Bevétel'!A1"/>
    <hyperlink ref="A14" location="'2.3.Kiad.'!A1" display="'2.3.Kiad.'!A1"/>
    <hyperlink ref="A15" location="'2.4.Átad.Peszk.'!A1" display="'2.4.Átad.Peszk.'!A1"/>
    <hyperlink ref="A16" location="'2.5.Céltart'!A1" display="'2.5.Céltart'!A1"/>
    <hyperlink ref="A18" location="'2.7.Beruh'!A1" display="'2.7.Beruh'!A1"/>
    <hyperlink ref="A19" location="'2.8.Felúj.'!A1" display="'2.8.Felúj.'!A1"/>
    <hyperlink ref="A20" location="'2.9.ADÓSSÁG'!A1" display="'2.9.ADÓSSÁG'!A1"/>
    <hyperlink ref="A8" location="'1.3. Mérleg'!A1" display="'1.3. Mérleg'!A1"/>
    <hyperlink ref="A9" location="'1.4.EU-S'!A1" display="'1.4.EU-S'!A1"/>
    <hyperlink ref="A10" location="'1.5. Létszám'!A1" display="'1.5. Létszám'!A1"/>
    <hyperlink ref="A17" location="'2.6. segély'!A1" display="'2.6. segély'!A1"/>
    <hyperlink ref="A24" location="'3.1.Bevétel POHI'!A1" display="'3.1.Bevétel POHI'!A1"/>
    <hyperlink ref="A25" location="'3.2.Kiad. POHI'!A1" display="'3.2.Kiad. POHI'!A1"/>
    <hyperlink ref="A26" location="'3.3.Céltart POHI'!A1" display="'3.3.Céltart POHI'!A1"/>
    <hyperlink ref="A27" location="'3.4. Segély Pohi'!A1" display="'3.4. Segély Pohi'!A1"/>
    <hyperlink ref="A28" location="'3.5.Beruh POHI'!A1" display="'3.5.Beruh POHI'!A1"/>
    <hyperlink ref="A29" location="'3.6.Felúj. POHI'!A1" display="'3.6.Felúj. POHI'!A1"/>
    <hyperlink ref="A32" location="'4. iNT ÖSSZESÍTŐ'!A1" display="'4. iNT ÖSSZESÍTŐ'!A1"/>
    <hyperlink ref="A33" location="'4.1.HSZI bev-kiad'!A1" display="'4.1.HSZI bev-kiad'!A1"/>
    <hyperlink ref="A34" location="'4.2. HSZI beruh'!A1" display="'4.2. HSZI beruh'!A1"/>
    <hyperlink ref="A35" location="'4.3. SZOCIFOGI bev-kiad'!A1" display="'4.3. SZOCIFOGI bev-kiad'!A1"/>
    <hyperlink ref="A36" location="'4.4. SZOCIFOGI beruh'!A1" display="'4.4. SZOCIFOGI beruh'!A1"/>
    <hyperlink ref="A37" location="'4.5. CSILI bev-kiad'!A1" display="'4.5. CSILI bev-kiad'!A1"/>
    <hyperlink ref="A38" location="'4.6. CSILI beruh'!A1" display="'4.6. CSILI beruh'!A1"/>
    <hyperlink ref="A39" location="'4.7. MÚZ bev-kiad'!A1" display="'4.7. MÚZ bev-kiad'!A1"/>
    <hyperlink ref="A40" location="'4.8. MÚZ beruh'!A1" display="'4.8. MÚZ beruh'!A1"/>
    <hyperlink ref="A41" location="'4.9. BAROSS bev-kiad'!A1" display="'4.9. BAROSS bev-kiad'!A1"/>
    <hyperlink ref="A42" location="'4.10. BAROSS beruh'!A1" display="'4.10. BAROSS beruh'!A1"/>
    <hyperlink ref="A43" location="'4.11. GÉZ bev-kiad'!A1" display="'4.11. GÉZ bev-kiad'!A1"/>
    <hyperlink ref="A44" location="'4.12. GÉZ beruh'!A1" display="'4.12. GÉZ beruh'!A1"/>
    <hyperlink ref="A45" location="'4.13. LUR bev-kiad'!A1" display="'4.13. LUR bev-kiad'!A1"/>
    <hyperlink ref="A46" location="'4.14. LUR beruh'!A1" display="'4.14. LUR beruh'!A1"/>
    <hyperlink ref="A47" location="'4.15. NYIT bev-kiad'!A1" display="'4.15. NYIT bev-kiad'!A1"/>
    <hyperlink ref="A48" location="'4.16. NYIT beruh'!A1" display="'4.16. NYIT beruh'!A1"/>
    <hyperlink ref="A49" location="'4.17. GYMOS bev-kiad'!A1" display="'4.17. GYMOS bev-kiad'!A1"/>
    <hyperlink ref="A50" location="'4.18. GYMOS beruh'!A1" display="'4.18. GYMOS beruh'!A1"/>
    <hyperlink ref="A51" location="'4.19. KER bev-kiad'!A1" display="'4.19. KER bev-kiad'!A1"/>
    <hyperlink ref="A52" location="'4.20. KER beruh'!A1" display="'4.20. KER beruh'!A1"/>
    <hyperlink ref="A53" location="'4.21. GAMESZ bev-kiad'!A1" display="'4.21. GAMESZ bev-kiad'!A1"/>
    <hyperlink ref="A54" location="'4.22. GAMESZ beruh'!A1" display="'4.22. GAMESZ beruh'!A1"/>
    <hyperlink ref="A55" location="'4.23. Előir.felh. '!A1" display="'4.23. Előir.felh. '!A1"/>
    <hyperlink ref="A13" location="'2.2. Kp-i tám'!A1" display="'2.2. Kp-i tám'!A1"/>
    <hyperlink ref="A21" location="'2.10. Előir.felh.'!A1" display="'2.10. Előir.felh.'!A1"/>
    <hyperlink ref="A22" location="'2.11. Közv. tám'!A1" display="'2.11. Közv. tám'!A1"/>
    <hyperlink ref="A30" location="'3.8. Előir.felh. POHI'!A1" display="'3.8. Előir.felh. POHI'!A1"/>
    <hyperlink ref="A56" location="'4.24. Közv. tám'!A1" display="'4.24. Közv. tám'!A1"/>
  </hyperlinks>
  <printOptions/>
  <pageMargins left="0.7874015748031497" right="0.7874015748031497" top="0.984251968503937" bottom="0.984251968503937" header="0.5118110236220472" footer="0.5118110236220472"/>
  <pageSetup orientation="portrait" paperSize="9" scale="91" r:id="rId1"/>
  <colBreaks count="1" manualBreakCount="1">
    <brk id="4" max="57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 codeName="Munka76"/>
  <dimension ref="A1:I49"/>
  <sheetViews>
    <sheetView zoomScalePageLayoutView="0" workbookViewId="0" topLeftCell="A1">
      <pane xSplit="2" ySplit="2" topLeftCell="C18" activePane="bottomRight" state="frozen"/>
      <selection pane="topLeft" activeCell="H18" sqref="H18:H20"/>
      <selection pane="topRight" activeCell="H18" sqref="H18:H20"/>
      <selection pane="bottomLeft" activeCell="H18" sqref="H18:H20"/>
      <selection pane="bottomRight" activeCell="D37" sqref="D37"/>
    </sheetView>
  </sheetViews>
  <sheetFormatPr defaultColWidth="9.140625" defaultRowHeight="12.75"/>
  <cols>
    <col min="1" max="1" width="9.140625" style="1147" customWidth="1"/>
    <col min="2" max="2" width="52.7109375" style="1147" customWidth="1"/>
    <col min="3" max="3" width="14.28125" style="1146" customWidth="1"/>
    <col min="4" max="4" width="16.421875" style="1146" customWidth="1"/>
    <col min="5" max="5" width="19.8515625" style="1146" customWidth="1"/>
    <col min="6" max="6" width="18.7109375" style="1146" customWidth="1"/>
    <col min="7" max="7" width="15.421875" style="1146" bestFit="1" customWidth="1"/>
    <col min="8" max="8" width="14.28125" style="1147" customWidth="1"/>
    <col min="9" max="9" width="14.140625" style="1146" customWidth="1"/>
    <col min="10" max="10" width="12.421875" style="1147" customWidth="1"/>
    <col min="11" max="11" width="10.00390625" style="1147" customWidth="1"/>
    <col min="12" max="16384" width="9.140625" style="1147" customWidth="1"/>
  </cols>
  <sheetData>
    <row r="1" spans="1:8" ht="13.5" customHeight="1">
      <c r="A1" s="1844" t="s">
        <v>523</v>
      </c>
      <c r="B1" s="1906" t="s">
        <v>1200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9" ht="48" thickBot="1">
      <c r="A2" s="1845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  <c r="I2" s="1454"/>
    </row>
    <row r="3" spans="1:9" s="1386" customFormat="1" ht="31.5">
      <c r="A3" s="1381" t="s">
        <v>185</v>
      </c>
      <c r="B3" s="1410" t="s">
        <v>186</v>
      </c>
      <c r="C3" s="1383"/>
      <c r="D3" s="1383"/>
      <c r="E3" s="1383"/>
      <c r="F3" s="1383"/>
      <c r="G3" s="1383">
        <f>SUM(D3:F3)</f>
        <v>0</v>
      </c>
      <c r="H3" s="1384"/>
      <c r="I3" s="1455"/>
    </row>
    <row r="4" spans="1:9" s="1386" customFormat="1" ht="31.5">
      <c r="A4" s="1387" t="s">
        <v>187</v>
      </c>
      <c r="B4" s="1410" t="s">
        <v>145</v>
      </c>
      <c r="C4" s="1392"/>
      <c r="D4" s="1392"/>
      <c r="E4" s="1392"/>
      <c r="F4" s="1392"/>
      <c r="G4" s="1392">
        <f>SUM(D4:F4)</f>
        <v>0</v>
      </c>
      <c r="H4" s="1393"/>
      <c r="I4" s="1455"/>
    </row>
    <row r="5" spans="1:9" s="1386" customFormat="1" ht="19.5" customHeight="1">
      <c r="A5" s="1387" t="s">
        <v>193</v>
      </c>
      <c r="B5" s="1391" t="s">
        <v>148</v>
      </c>
      <c r="C5" s="1392"/>
      <c r="D5" s="1392"/>
      <c r="E5" s="1392"/>
      <c r="F5" s="1392"/>
      <c r="G5" s="1392">
        <f>SUM(D5:F5)</f>
        <v>0</v>
      </c>
      <c r="H5" s="1393"/>
      <c r="I5" s="1455"/>
    </row>
    <row r="6" spans="1:9" s="1386" customFormat="1" ht="19.5" customHeight="1">
      <c r="A6" s="1387" t="s">
        <v>469</v>
      </c>
      <c r="B6" s="1391" t="s">
        <v>664</v>
      </c>
      <c r="C6" s="1392">
        <v>11334</v>
      </c>
      <c r="D6" s="1392">
        <v>9986283</v>
      </c>
      <c r="E6" s="1392">
        <v>435610</v>
      </c>
      <c r="F6" s="1392"/>
      <c r="G6" s="1392">
        <f>SUM(D6:F6)</f>
        <v>10421893</v>
      </c>
      <c r="H6" s="1393">
        <f>G6/(C6*1000)</f>
        <v>0.92</v>
      </c>
      <c r="I6" s="1455"/>
    </row>
    <row r="7" spans="1:9" s="1386" customFormat="1" ht="19.5" customHeight="1">
      <c r="A7" s="1387" t="s">
        <v>486</v>
      </c>
      <c r="B7" s="1391" t="s">
        <v>663</v>
      </c>
      <c r="C7" s="1392"/>
      <c r="D7" s="1392"/>
      <c r="E7" s="1392"/>
      <c r="F7" s="1392"/>
      <c r="G7" s="1392"/>
      <c r="H7" s="1393"/>
      <c r="I7" s="1455"/>
    </row>
    <row r="8" spans="1:9" s="1386" customFormat="1" ht="19.5" customHeight="1">
      <c r="A8" s="1387" t="s">
        <v>471</v>
      </c>
      <c r="B8" s="1391" t="s">
        <v>475</v>
      </c>
      <c r="C8" s="1392"/>
      <c r="D8" s="1392"/>
      <c r="E8" s="1392"/>
      <c r="F8" s="1392"/>
      <c r="G8" s="1392"/>
      <c r="H8" s="1393"/>
      <c r="I8" s="1455"/>
    </row>
    <row r="9" spans="1:9" s="1386" customFormat="1" ht="19.5" customHeight="1" thickBot="1">
      <c r="A9" s="1394" t="s">
        <v>473</v>
      </c>
      <c r="B9" s="1395" t="s">
        <v>474</v>
      </c>
      <c r="C9" s="1396"/>
      <c r="D9" s="1396"/>
      <c r="E9" s="1396"/>
      <c r="F9" s="1396"/>
      <c r="G9" s="1396"/>
      <c r="H9" s="1397"/>
      <c r="I9" s="1455"/>
    </row>
    <row r="10" spans="1:9" s="1399" customFormat="1" ht="15" customHeight="1" thickBot="1">
      <c r="A10" s="782" t="s">
        <v>476</v>
      </c>
      <c r="B10" s="783" t="s">
        <v>286</v>
      </c>
      <c r="C10" s="784">
        <f>C3+C4+C5+C6+C7+C8+C9</f>
        <v>11334</v>
      </c>
      <c r="D10" s="784">
        <f>D3+D4+D5+D6+D7+D8+D9</f>
        <v>9986283</v>
      </c>
      <c r="E10" s="784">
        <f>E3+E4+E5+E6+E7+E8+E9</f>
        <v>435610</v>
      </c>
      <c r="F10" s="784">
        <f>F3+F4+F5+F6+F7+F8+F9</f>
        <v>0</v>
      </c>
      <c r="G10" s="1139">
        <f>SUM(D10:F10)</f>
        <v>10421893</v>
      </c>
      <c r="H10" s="786">
        <f>G10/(C10*1000)</f>
        <v>0.92</v>
      </c>
      <c r="I10" s="1398"/>
    </row>
    <row r="11" spans="1:9" s="1399" customFormat="1" ht="15" customHeight="1">
      <c r="A11" s="1381" t="s">
        <v>477</v>
      </c>
      <c r="B11" s="1382" t="s">
        <v>478</v>
      </c>
      <c r="C11" s="1383">
        <f>+C12</f>
        <v>296586</v>
      </c>
      <c r="D11" s="1383">
        <f>+D12</f>
        <v>307828831</v>
      </c>
      <c r="E11" s="1383">
        <f>+E12</f>
        <v>4246380</v>
      </c>
      <c r="F11" s="1383">
        <f>+F12</f>
        <v>0</v>
      </c>
      <c r="G11" s="1383">
        <f>+G12</f>
        <v>312075211</v>
      </c>
      <c r="H11" s="1384">
        <f>G11/(C11*1000)</f>
        <v>1.05</v>
      </c>
      <c r="I11" s="1398"/>
    </row>
    <row r="12" spans="1:9" s="1399" customFormat="1" ht="15" customHeight="1">
      <c r="A12" s="1400" t="s">
        <v>483</v>
      </c>
      <c r="B12" s="1401" t="s">
        <v>484</v>
      </c>
      <c r="C12" s="1402">
        <f>+C13+C16</f>
        <v>296586</v>
      </c>
      <c r="D12" s="1402">
        <f>+D13+D16</f>
        <v>307828831</v>
      </c>
      <c r="E12" s="1402">
        <f>+E13+E16</f>
        <v>4246380</v>
      </c>
      <c r="F12" s="1402">
        <f>+F13+F16</f>
        <v>0</v>
      </c>
      <c r="G12" s="1402">
        <f aca="true" t="shared" si="0" ref="G12:G19">SUM(D12:F12)</f>
        <v>312075211</v>
      </c>
      <c r="H12" s="1403">
        <f>G12/(C12*1000)</f>
        <v>1.05</v>
      </c>
      <c r="I12" s="1398"/>
    </row>
    <row r="13" spans="1:9" s="1399" customFormat="1" ht="15" customHeight="1">
      <c r="A13" s="1160" t="s">
        <v>479</v>
      </c>
      <c r="B13" s="1166" t="s">
        <v>480</v>
      </c>
      <c r="C13" s="1167">
        <f>SUM(C14:C15)</f>
        <v>945</v>
      </c>
      <c r="D13" s="1167">
        <f>SUM(D14:D15)</f>
        <v>1563852</v>
      </c>
      <c r="E13" s="1167">
        <f>SUM(E14:E15)</f>
        <v>0</v>
      </c>
      <c r="F13" s="1167">
        <f>SUM(F14:F15)</f>
        <v>0</v>
      </c>
      <c r="G13" s="1162">
        <f>SUM(D13:F13)</f>
        <v>1563852</v>
      </c>
      <c r="H13" s="1168">
        <f>G13/(C13*1000)</f>
        <v>1.65</v>
      </c>
      <c r="I13" s="1398"/>
    </row>
    <row r="14" spans="1:9" s="1399" customFormat="1" ht="15" customHeight="1">
      <c r="A14" s="809"/>
      <c r="B14" s="1148" t="s">
        <v>241</v>
      </c>
      <c r="C14" s="811">
        <v>945</v>
      </c>
      <c r="D14" s="811">
        <v>1341012</v>
      </c>
      <c r="E14" s="811"/>
      <c r="F14" s="811"/>
      <c r="G14" s="811">
        <f t="shared" si="0"/>
        <v>1341012</v>
      </c>
      <c r="H14" s="1169">
        <f>G14/(C14*1000)</f>
        <v>1.42</v>
      </c>
      <c r="I14" s="1398"/>
    </row>
    <row r="15" spans="1:9" s="1399" customFormat="1" ht="15" customHeight="1">
      <c r="A15" s="809"/>
      <c r="B15" s="1148" t="s">
        <v>242</v>
      </c>
      <c r="C15" s="811"/>
      <c r="D15" s="811">
        <v>222840</v>
      </c>
      <c r="E15" s="811"/>
      <c r="F15" s="811"/>
      <c r="G15" s="811">
        <f t="shared" si="0"/>
        <v>222840</v>
      </c>
      <c r="H15" s="1169"/>
      <c r="I15" s="1398"/>
    </row>
    <row r="16" spans="1:9" s="1399" customFormat="1" ht="15" customHeight="1">
      <c r="A16" s="1160" t="s">
        <v>665</v>
      </c>
      <c r="B16" s="1161" t="s">
        <v>666</v>
      </c>
      <c r="C16" s="1162">
        <f>SUM(C17:C18)</f>
        <v>295641</v>
      </c>
      <c r="D16" s="1162">
        <f>SUM(D17:D18)</f>
        <v>306264979</v>
      </c>
      <c r="E16" s="1162">
        <f>SUM(E17:E18)</f>
        <v>4246380</v>
      </c>
      <c r="F16" s="1162">
        <f>SUM(F17:F18)</f>
        <v>0</v>
      </c>
      <c r="G16" s="793">
        <f>SUM(D16:F16)</f>
        <v>310511359</v>
      </c>
      <c r="H16" s="1163">
        <f>G16/(C16*1000)</f>
        <v>1.05</v>
      </c>
      <c r="I16" s="1398"/>
    </row>
    <row r="17" spans="1:9" s="1453" customFormat="1" ht="15" customHeight="1">
      <c r="A17" s="1171"/>
      <c r="B17" s="1172" t="s">
        <v>667</v>
      </c>
      <c r="C17" s="717">
        <v>295260</v>
      </c>
      <c r="D17" s="717">
        <v>306264979</v>
      </c>
      <c r="E17" s="717">
        <v>4246380</v>
      </c>
      <c r="F17" s="717"/>
      <c r="G17" s="797">
        <f t="shared" si="0"/>
        <v>310511359</v>
      </c>
      <c r="H17" s="1173">
        <f>G17/(C17*1000)</f>
        <v>1.05</v>
      </c>
      <c r="I17" s="1452"/>
    </row>
    <row r="18" spans="1:9" s="1405" customFormat="1" ht="15" customHeight="1" thickBot="1">
      <c r="A18" s="1171"/>
      <c r="B18" s="1172" t="s">
        <v>668</v>
      </c>
      <c r="C18" s="717">
        <v>381</v>
      </c>
      <c r="D18" s="717"/>
      <c r="E18" s="717"/>
      <c r="F18" s="717"/>
      <c r="G18" s="797">
        <f t="shared" si="0"/>
        <v>0</v>
      </c>
      <c r="H18" s="1173">
        <f>G18/(C18*1000)</f>
        <v>0</v>
      </c>
      <c r="I18" s="1404"/>
    </row>
    <row r="19" spans="1:9" s="1386" customFormat="1" ht="24.75" customHeight="1" thickBot="1">
      <c r="A19" s="1141"/>
      <c r="B19" s="1142" t="s">
        <v>78</v>
      </c>
      <c r="C19" s="1408">
        <f>C10+C11</f>
        <v>307920</v>
      </c>
      <c r="D19" s="1408">
        <f>D10+D11</f>
        <v>317815114</v>
      </c>
      <c r="E19" s="1408">
        <f>E10+E11</f>
        <v>4681990</v>
      </c>
      <c r="F19" s="1409">
        <f>F10+F11</f>
        <v>0</v>
      </c>
      <c r="G19" s="1408">
        <f t="shared" si="0"/>
        <v>322497104</v>
      </c>
      <c r="H19" s="1144">
        <f>G19/(C19*1000)</f>
        <v>1.05</v>
      </c>
      <c r="I19" s="1385"/>
    </row>
    <row r="20" spans="1:8" ht="16.5" thickBot="1">
      <c r="A20" s="1140"/>
      <c r="B20" s="1140"/>
      <c r="C20" s="1140"/>
      <c r="D20" s="1140"/>
      <c r="E20" s="1140"/>
      <c r="F20" s="1140"/>
      <c r="G20" s="1140"/>
      <c r="H20" s="1140"/>
    </row>
    <row r="21" spans="1:8" ht="13.5" customHeight="1">
      <c r="A21" s="805"/>
      <c r="B21" s="806" t="s">
        <v>549</v>
      </c>
      <c r="C21" s="807">
        <f>C3+C5+C6+C8</f>
        <v>11334</v>
      </c>
      <c r="D21" s="807">
        <f>D3+D5+D6+D8</f>
        <v>9986283</v>
      </c>
      <c r="E21" s="807">
        <f>E3+E5+E6+E8</f>
        <v>435610</v>
      </c>
      <c r="F21" s="807">
        <f>F3+F5+F6+F8</f>
        <v>0</v>
      </c>
      <c r="G21" s="807">
        <f aca="true" t="shared" si="1" ref="G21:G27">SUM(D21:F21)</f>
        <v>10421893</v>
      </c>
      <c r="H21" s="808">
        <f>G21/(C21*1000)</f>
        <v>0.92</v>
      </c>
    </row>
    <row r="22" spans="1:8" ht="15.75">
      <c r="A22" s="809"/>
      <c r="B22" s="810" t="s">
        <v>550</v>
      </c>
      <c r="C22" s="811">
        <f>C4+C7+C9</f>
        <v>0</v>
      </c>
      <c r="D22" s="811">
        <f>D4+D7+D9</f>
        <v>0</v>
      </c>
      <c r="E22" s="811">
        <f>E4+E7+E9</f>
        <v>0</v>
      </c>
      <c r="F22" s="811">
        <f>F4+F7+F9</f>
        <v>0</v>
      </c>
      <c r="G22" s="811">
        <f t="shared" si="1"/>
        <v>0</v>
      </c>
      <c r="H22" s="812"/>
    </row>
    <row r="23" spans="1:8" ht="15.75">
      <c r="A23" s="809"/>
      <c r="B23" s="810" t="s">
        <v>551</v>
      </c>
      <c r="C23" s="811">
        <f>+C14+C17</f>
        <v>296205</v>
      </c>
      <c r="D23" s="811">
        <f>+D14+D17</f>
        <v>307605991</v>
      </c>
      <c r="E23" s="811">
        <f>+E14+E17</f>
        <v>4246380</v>
      </c>
      <c r="F23" s="811">
        <f>+F14+F17</f>
        <v>0</v>
      </c>
      <c r="G23" s="811">
        <f t="shared" si="1"/>
        <v>311852371</v>
      </c>
      <c r="H23" s="812">
        <f>G23/(C23*1000)</f>
        <v>1.05</v>
      </c>
    </row>
    <row r="24" spans="1:8" ht="16.5" thickBot="1">
      <c r="A24" s="813"/>
      <c r="B24" s="814" t="s">
        <v>552</v>
      </c>
      <c r="C24" s="815">
        <f>+C18+C15</f>
        <v>381</v>
      </c>
      <c r="D24" s="815">
        <f>+D18+D15</f>
        <v>222840</v>
      </c>
      <c r="E24" s="815">
        <f>+E18+E15</f>
        <v>0</v>
      </c>
      <c r="F24" s="815">
        <f>+F18+F15</f>
        <v>0</v>
      </c>
      <c r="G24" s="1175">
        <f t="shared" si="1"/>
        <v>222840</v>
      </c>
      <c r="H24" s="816">
        <f>G24/(C24*1000)</f>
        <v>0.58</v>
      </c>
    </row>
    <row r="25" spans="1:8" ht="15.75">
      <c r="A25" s="817"/>
      <c r="B25" s="818" t="s">
        <v>553</v>
      </c>
      <c r="C25" s="819">
        <f aca="true" t="shared" si="2" ref="C25:F26">C21+C23</f>
        <v>307539</v>
      </c>
      <c r="D25" s="819">
        <f t="shared" si="2"/>
        <v>317592274</v>
      </c>
      <c r="E25" s="819">
        <f t="shared" si="2"/>
        <v>4681990</v>
      </c>
      <c r="F25" s="818">
        <f t="shared" si="2"/>
        <v>0</v>
      </c>
      <c r="G25" s="819">
        <f t="shared" si="1"/>
        <v>322274264</v>
      </c>
      <c r="H25" s="820">
        <f>G25/(C25*1000)</f>
        <v>1.05</v>
      </c>
    </row>
    <row r="26" spans="1:8" ht="16.5" thickBot="1">
      <c r="A26" s="821"/>
      <c r="B26" s="822" t="s">
        <v>554</v>
      </c>
      <c r="C26" s="823">
        <f t="shared" si="2"/>
        <v>381</v>
      </c>
      <c r="D26" s="823">
        <f t="shared" si="2"/>
        <v>222840</v>
      </c>
      <c r="E26" s="823">
        <f t="shared" si="2"/>
        <v>0</v>
      </c>
      <c r="F26" s="822">
        <f t="shared" si="2"/>
        <v>0</v>
      </c>
      <c r="G26" s="823">
        <f t="shared" si="1"/>
        <v>222840</v>
      </c>
      <c r="H26" s="824">
        <f>G26/(C26*1000)</f>
        <v>0.58</v>
      </c>
    </row>
    <row r="27" spans="1:8" ht="16.5" thickBot="1">
      <c r="A27" s="825"/>
      <c r="B27" s="826" t="s">
        <v>555</v>
      </c>
      <c r="C27" s="827">
        <f>C25+C26</f>
        <v>307920</v>
      </c>
      <c r="D27" s="827">
        <f>D25+D26</f>
        <v>317815114</v>
      </c>
      <c r="E27" s="823">
        <f>E25+E26</f>
        <v>4681990</v>
      </c>
      <c r="F27" s="826">
        <f>F25+F26</f>
        <v>0</v>
      </c>
      <c r="G27" s="827">
        <f t="shared" si="1"/>
        <v>322497104</v>
      </c>
      <c r="H27" s="828">
        <f>G27/(C27*1000)</f>
        <v>1.05</v>
      </c>
    </row>
    <row r="28" ht="16.5" thickBot="1"/>
    <row r="29" spans="1:8" ht="13.5" customHeight="1">
      <c r="A29" s="1904" t="s">
        <v>523</v>
      </c>
      <c r="B29" s="1906" t="s">
        <v>1201</v>
      </c>
      <c r="C29" s="1854" t="s">
        <v>1065</v>
      </c>
      <c r="D29" s="1851" t="s">
        <v>1050</v>
      </c>
      <c r="E29" s="1852"/>
      <c r="F29" s="1852"/>
      <c r="G29" s="1853"/>
      <c r="H29" s="1848" t="s">
        <v>1051</v>
      </c>
    </row>
    <row r="30" spans="1:9" ht="48" thickBot="1">
      <c r="A30" s="1905"/>
      <c r="B30" s="1907"/>
      <c r="C30" s="1855"/>
      <c r="D30" s="1136" t="s">
        <v>287</v>
      </c>
      <c r="E30" s="1136" t="s">
        <v>795</v>
      </c>
      <c r="F30" s="1136" t="s">
        <v>796</v>
      </c>
      <c r="G30" s="1136" t="s">
        <v>65</v>
      </c>
      <c r="H30" s="1849"/>
      <c r="I30" s="1454"/>
    </row>
    <row r="31" spans="1:9" s="1386" customFormat="1" ht="24.75" customHeight="1">
      <c r="A31" s="1381" t="s">
        <v>104</v>
      </c>
      <c r="B31" s="1382" t="s">
        <v>105</v>
      </c>
      <c r="C31" s="1383">
        <v>171490</v>
      </c>
      <c r="D31" s="1383">
        <v>189779200</v>
      </c>
      <c r="E31" s="1383">
        <v>3100000</v>
      </c>
      <c r="F31" s="1383"/>
      <c r="G31" s="1383">
        <f aca="true" t="shared" si="3" ref="G31:G41">SUM(D31:F31)</f>
        <v>192879200</v>
      </c>
      <c r="H31" s="1384">
        <f aca="true" t="shared" si="4" ref="H31:H36">G31/(C31*1000)</f>
        <v>1.12</v>
      </c>
      <c r="I31" s="1455"/>
    </row>
    <row r="32" spans="1:9" s="1386" customFormat="1" ht="31.5">
      <c r="A32" s="1387" t="s">
        <v>106</v>
      </c>
      <c r="B32" s="1410" t="s">
        <v>107</v>
      </c>
      <c r="C32" s="1392">
        <v>49712</v>
      </c>
      <c r="D32" s="1392">
        <v>46189114</v>
      </c>
      <c r="E32" s="1392">
        <v>1146380</v>
      </c>
      <c r="F32" s="1392"/>
      <c r="G32" s="1392">
        <f t="shared" si="3"/>
        <v>47335494</v>
      </c>
      <c r="H32" s="1393">
        <f t="shared" si="4"/>
        <v>0.95</v>
      </c>
      <c r="I32" s="1455"/>
    </row>
    <row r="33" spans="1:9" s="1386" customFormat="1" ht="24.75" customHeight="1">
      <c r="A33" s="1387" t="s">
        <v>108</v>
      </c>
      <c r="B33" s="1391" t="s">
        <v>109</v>
      </c>
      <c r="C33" s="1392">
        <v>86337</v>
      </c>
      <c r="D33" s="1392">
        <v>81623960</v>
      </c>
      <c r="E33" s="1392">
        <v>435610</v>
      </c>
      <c r="F33" s="1392"/>
      <c r="G33" s="1392">
        <f t="shared" si="3"/>
        <v>82059570</v>
      </c>
      <c r="H33" s="1393">
        <f t="shared" si="4"/>
        <v>0.95</v>
      </c>
      <c r="I33" s="1455"/>
    </row>
    <row r="34" spans="1:9" s="1386" customFormat="1" ht="24.75" customHeight="1">
      <c r="A34" s="1387" t="s">
        <v>110</v>
      </c>
      <c r="B34" s="1391" t="s">
        <v>111</v>
      </c>
      <c r="C34" s="1392"/>
      <c r="D34" s="1392"/>
      <c r="E34" s="1392"/>
      <c r="F34" s="1392"/>
      <c r="G34" s="1392">
        <f t="shared" si="3"/>
        <v>0</v>
      </c>
      <c r="H34" s="1393"/>
      <c r="I34" s="1455"/>
    </row>
    <row r="35" spans="1:9" s="1386" customFormat="1" ht="24.75" customHeight="1">
      <c r="A35" s="1387" t="s">
        <v>112</v>
      </c>
      <c r="B35" s="1391" t="s">
        <v>113</v>
      </c>
      <c r="C35" s="1392"/>
      <c r="D35" s="1392"/>
      <c r="E35" s="1392"/>
      <c r="F35" s="1392"/>
      <c r="G35" s="1392">
        <f t="shared" si="3"/>
        <v>0</v>
      </c>
      <c r="H35" s="1393"/>
      <c r="I35" s="1455"/>
    </row>
    <row r="36" spans="1:9" s="1386" customFormat="1" ht="24.75" customHeight="1">
      <c r="A36" s="1387" t="s">
        <v>548</v>
      </c>
      <c r="B36" s="1391" t="s">
        <v>121</v>
      </c>
      <c r="C36" s="1392">
        <v>381</v>
      </c>
      <c r="D36" s="1392">
        <v>222840</v>
      </c>
      <c r="E36" s="1392"/>
      <c r="F36" s="1392"/>
      <c r="G36" s="1392">
        <f t="shared" si="3"/>
        <v>222840</v>
      </c>
      <c r="H36" s="1393">
        <f t="shared" si="4"/>
        <v>0.58</v>
      </c>
      <c r="I36" s="1455"/>
    </row>
    <row r="37" spans="1:9" s="1386" customFormat="1" ht="24.75" customHeight="1">
      <c r="A37" s="1387" t="s">
        <v>122</v>
      </c>
      <c r="B37" s="1391" t="s">
        <v>123</v>
      </c>
      <c r="C37" s="1392"/>
      <c r="D37" s="1392"/>
      <c r="E37" s="1392"/>
      <c r="F37" s="1392"/>
      <c r="G37" s="1392">
        <f t="shared" si="3"/>
        <v>0</v>
      </c>
      <c r="H37" s="1393"/>
      <c r="I37" s="1455"/>
    </row>
    <row r="38" spans="1:9" s="1386" customFormat="1" ht="24.75" customHeight="1" thickBot="1">
      <c r="A38" s="1394" t="s">
        <v>124</v>
      </c>
      <c r="B38" s="1395" t="s">
        <v>125</v>
      </c>
      <c r="C38" s="1396"/>
      <c r="D38" s="1396"/>
      <c r="E38" s="1396"/>
      <c r="F38" s="1396"/>
      <c r="G38" s="1396">
        <f t="shared" si="3"/>
        <v>0</v>
      </c>
      <c r="H38" s="1411"/>
      <c r="I38" s="1455"/>
    </row>
    <row r="39" spans="1:9" ht="16.5" thickBot="1">
      <c r="A39" s="782" t="s">
        <v>138</v>
      </c>
      <c r="B39" s="783" t="s">
        <v>139</v>
      </c>
      <c r="C39" s="784">
        <f>C31+C32+C33+C34+C35+C36+C37+C38</f>
        <v>307920</v>
      </c>
      <c r="D39" s="784">
        <f>D31+D32+D33+D34+D35+D36+D37+D38</f>
        <v>317815114</v>
      </c>
      <c r="E39" s="784">
        <f>E31+E32+E33+E34+E35+E36+E37+E38</f>
        <v>4681990</v>
      </c>
      <c r="F39" s="784">
        <f>F31+F32+F33+F34+F35+F36+F37+F38</f>
        <v>0</v>
      </c>
      <c r="G39" s="1139">
        <f t="shared" si="3"/>
        <v>322497104</v>
      </c>
      <c r="H39" s="786">
        <f>G39/(C39*1000)</f>
        <v>1.05</v>
      </c>
      <c r="I39" s="1454"/>
    </row>
    <row r="40" spans="1:9" s="1386" customFormat="1" ht="24.75" customHeight="1" thickBot="1">
      <c r="A40" s="1437" t="s">
        <v>129</v>
      </c>
      <c r="B40" s="1438" t="s">
        <v>130</v>
      </c>
      <c r="C40" s="1439"/>
      <c r="D40" s="1439"/>
      <c r="E40" s="1439"/>
      <c r="F40" s="1439"/>
      <c r="G40" s="1439">
        <f t="shared" si="3"/>
        <v>0</v>
      </c>
      <c r="H40" s="1440"/>
      <c r="I40" s="1455"/>
    </row>
    <row r="41" spans="1:9" s="1449" customFormat="1" ht="24.75" customHeight="1" thickBot="1">
      <c r="A41" s="1141"/>
      <c r="B41" s="1142" t="s">
        <v>77</v>
      </c>
      <c r="C41" s="1408">
        <f>C40+C39</f>
        <v>307920</v>
      </c>
      <c r="D41" s="1408">
        <f>D40+D39</f>
        <v>317815114</v>
      </c>
      <c r="E41" s="1408">
        <f>E40+E39</f>
        <v>4681990</v>
      </c>
      <c r="F41" s="1409">
        <f>F40+F39</f>
        <v>0</v>
      </c>
      <c r="G41" s="1408">
        <f t="shared" si="3"/>
        <v>322497104</v>
      </c>
      <c r="H41" s="1144">
        <f>G41/(C41*1000)</f>
        <v>1.05</v>
      </c>
      <c r="I41" s="1459"/>
    </row>
    <row r="42" spans="1:8" ht="16.5" thickBot="1">
      <c r="A42" s="800"/>
      <c r="B42" s="801"/>
      <c r="C42" s="802"/>
      <c r="D42" s="802"/>
      <c r="E42" s="802"/>
      <c r="F42" s="803"/>
      <c r="G42" s="803"/>
      <c r="H42" s="804"/>
    </row>
    <row r="43" spans="1:8" ht="15.75">
      <c r="A43" s="805"/>
      <c r="B43" s="806" t="s">
        <v>158</v>
      </c>
      <c r="C43" s="807">
        <f>C31+C32+C33+C34+C35</f>
        <v>307539</v>
      </c>
      <c r="D43" s="807">
        <f>D31+D32+D33+D34+D35</f>
        <v>317592274</v>
      </c>
      <c r="E43" s="807">
        <f>E31+E32+E33+E34+E35</f>
        <v>4681990</v>
      </c>
      <c r="F43" s="807">
        <f>F31+F32+F33+F34+F35</f>
        <v>0</v>
      </c>
      <c r="G43" s="807">
        <f>SUM(D43:F43)</f>
        <v>322274264</v>
      </c>
      <c r="H43" s="808">
        <f>G43/(C43*1000)</f>
        <v>1.05</v>
      </c>
    </row>
    <row r="44" spans="1:8" ht="15.75">
      <c r="A44" s="809"/>
      <c r="B44" s="810" t="s">
        <v>159</v>
      </c>
      <c r="C44" s="811">
        <f>C36+C37+C38</f>
        <v>381</v>
      </c>
      <c r="D44" s="811">
        <f>D36+D37+D38</f>
        <v>222840</v>
      </c>
      <c r="E44" s="811">
        <f>E36+E37+E38</f>
        <v>0</v>
      </c>
      <c r="F44" s="811">
        <f>F36+F37+F38</f>
        <v>0</v>
      </c>
      <c r="G44" s="811">
        <f>SUM(D44:F44)</f>
        <v>222840</v>
      </c>
      <c r="H44" s="812">
        <f>G44/(C44*1000)</f>
        <v>0.58</v>
      </c>
    </row>
    <row r="45" spans="1:8" ht="15.75">
      <c r="A45" s="809"/>
      <c r="B45" s="810" t="s">
        <v>160</v>
      </c>
      <c r="C45" s="811">
        <f>C40</f>
        <v>0</v>
      </c>
      <c r="D45" s="811">
        <f>D40</f>
        <v>0</v>
      </c>
      <c r="E45" s="811">
        <f>E40</f>
        <v>0</v>
      </c>
      <c r="F45" s="811">
        <f>F40</f>
        <v>0</v>
      </c>
      <c r="G45" s="811">
        <f>SUM(D45:F45)</f>
        <v>0</v>
      </c>
      <c r="H45" s="812"/>
    </row>
    <row r="46" spans="1:8" ht="16.5" thickBot="1">
      <c r="A46" s="813"/>
      <c r="B46" s="814" t="s">
        <v>161</v>
      </c>
      <c r="C46" s="815">
        <f>C40</f>
        <v>0</v>
      </c>
      <c r="D46" s="815">
        <f>D40</f>
        <v>0</v>
      </c>
      <c r="E46" s="815">
        <f>E40</f>
        <v>0</v>
      </c>
      <c r="F46" s="815">
        <f>F40</f>
        <v>0</v>
      </c>
      <c r="G46" s="815">
        <f>G40</f>
        <v>0</v>
      </c>
      <c r="H46" s="816"/>
    </row>
    <row r="47" spans="1:8" ht="15.75">
      <c r="A47" s="817"/>
      <c r="B47" s="818" t="s">
        <v>162</v>
      </c>
      <c r="C47" s="819">
        <f aca="true" t="shared" si="5" ref="C47:F48">C43+C45</f>
        <v>307539</v>
      </c>
      <c r="D47" s="819">
        <f t="shared" si="5"/>
        <v>317592274</v>
      </c>
      <c r="E47" s="819">
        <f t="shared" si="5"/>
        <v>4681990</v>
      </c>
      <c r="F47" s="818">
        <f t="shared" si="5"/>
        <v>0</v>
      </c>
      <c r="G47" s="819">
        <f>SUM(D47:F47)</f>
        <v>322274264</v>
      </c>
      <c r="H47" s="820">
        <f>G47/(C47*1000)</f>
        <v>1.05</v>
      </c>
    </row>
    <row r="48" spans="1:8" ht="16.5" thickBot="1">
      <c r="A48" s="821"/>
      <c r="B48" s="822" t="s">
        <v>163</v>
      </c>
      <c r="C48" s="823">
        <f t="shared" si="5"/>
        <v>381</v>
      </c>
      <c r="D48" s="823">
        <f t="shared" si="5"/>
        <v>222840</v>
      </c>
      <c r="E48" s="823">
        <f t="shared" si="5"/>
        <v>0</v>
      </c>
      <c r="F48" s="822">
        <f t="shared" si="5"/>
        <v>0</v>
      </c>
      <c r="G48" s="823">
        <f>SUM(D48:F48)</f>
        <v>222840</v>
      </c>
      <c r="H48" s="824">
        <f>G48/(C48*1000)</f>
        <v>0.58</v>
      </c>
    </row>
    <row r="49" spans="1:8" ht="16.5" thickBot="1">
      <c r="A49" s="825"/>
      <c r="B49" s="826" t="s">
        <v>164</v>
      </c>
      <c r="C49" s="827">
        <f>C47+C48</f>
        <v>307920</v>
      </c>
      <c r="D49" s="827">
        <f>D47+D48</f>
        <v>317815114</v>
      </c>
      <c r="E49" s="823">
        <f>E47+E48</f>
        <v>4681990</v>
      </c>
      <c r="F49" s="826">
        <f>F47+F48</f>
        <v>0</v>
      </c>
      <c r="G49" s="827">
        <f>SUM(D49:F49)</f>
        <v>322497104</v>
      </c>
      <c r="H49" s="828">
        <f>G49/(C49*1000)</f>
        <v>1.05</v>
      </c>
    </row>
  </sheetData>
  <sheetProtection/>
  <mergeCells count="10">
    <mergeCell ref="H1:H2"/>
    <mergeCell ref="A29:A30"/>
    <mergeCell ref="B29:B30"/>
    <mergeCell ref="C29:C30"/>
    <mergeCell ref="D29:G29"/>
    <mergeCell ref="H29:H30"/>
    <mergeCell ref="A1:A2"/>
    <mergeCell ref="D1:G1"/>
    <mergeCell ref="C1:C2"/>
    <mergeCell ref="B1:B2"/>
  </mergeCells>
  <printOptions horizontalCentered="1"/>
  <pageMargins left="0.3937007874015748" right="0.3937007874015748" top="0.7874015748031497" bottom="0.7874015748031497" header="0.3937007874015748" footer="0.3937007874015748"/>
  <pageSetup fitToHeight="2" orientation="landscape" paperSize="9" scale="88" r:id="rId1"/>
  <headerFooter alignWithMargins="0">
    <oddHeader>&amp;C&amp;"Times New Roman,Félkövér"PESTERZSÉBETI GYERMEKMOSOLY ÓVODA
 2017. ÉVI BEVÉTELEI ÉS KIADÁSAI
&amp;R&amp;"Times New Roman,Félkövér"4.17. sz. melléklet&amp;"MS Sans Serif,Normál"
</oddHeader>
  </headerFooter>
  <rowBreaks count="1" manualBreakCount="1">
    <brk id="28" max="7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sheetPr codeName="Munka77">
    <pageSetUpPr fitToPage="1"/>
  </sheetPr>
  <dimension ref="A1:H13"/>
  <sheetViews>
    <sheetView zoomScale="80" zoomScaleNormal="80" zoomScalePageLayoutView="0" workbookViewId="0" topLeftCell="A1">
      <pane ySplit="1" topLeftCell="A2" activePane="bottomLeft" state="frozen"/>
      <selection pane="topLeft" activeCell="D16" sqref="D16"/>
      <selection pane="bottomLeft" activeCell="Q18" sqref="Q18"/>
    </sheetView>
  </sheetViews>
  <sheetFormatPr defaultColWidth="9.140625" defaultRowHeight="12.75"/>
  <cols>
    <col min="1" max="1" width="9.140625" style="694" customWidth="1"/>
    <col min="2" max="2" width="64.421875" style="694" customWidth="1"/>
    <col min="3" max="8" width="18.28125" style="694" customWidth="1"/>
    <col min="9" max="16384" width="9.140625" style="694" customWidth="1"/>
  </cols>
  <sheetData>
    <row r="1" spans="1:8" ht="13.5" customHeight="1">
      <c r="A1" s="1928" t="s">
        <v>523</v>
      </c>
      <c r="B1" s="1906" t="s">
        <v>512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8" ht="48" thickBot="1">
      <c r="A2" s="1929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8" ht="15.75">
      <c r="A3" s="707" t="s">
        <v>213</v>
      </c>
      <c r="B3" s="708" t="s">
        <v>214</v>
      </c>
      <c r="C3" s="709"/>
      <c r="D3" s="709"/>
      <c r="E3" s="708"/>
      <c r="F3" s="708"/>
      <c r="G3" s="709">
        <f>SUM(D3:F3)</f>
        <v>0</v>
      </c>
      <c r="H3" s="721"/>
    </row>
    <row r="4" spans="1:8" ht="15" customHeight="1">
      <c r="A4" s="714" t="s">
        <v>215</v>
      </c>
      <c r="B4" s="691" t="s">
        <v>216</v>
      </c>
      <c r="C4" s="695"/>
      <c r="D4" s="695"/>
      <c r="E4" s="695"/>
      <c r="F4" s="695"/>
      <c r="G4" s="695">
        <f>SUM(D4:F4)</f>
        <v>0</v>
      </c>
      <c r="H4" s="1427"/>
    </row>
    <row r="5" spans="1:8" ht="15" customHeight="1">
      <c r="A5" s="714" t="s">
        <v>534</v>
      </c>
      <c r="B5" s="691" t="s">
        <v>535</v>
      </c>
      <c r="C5" s="700"/>
      <c r="D5" s="695"/>
      <c r="E5" s="1428"/>
      <c r="F5" s="1428"/>
      <c r="G5" s="700">
        <f aca="true" t="shared" si="0" ref="G5:G13">SUM(D5:F5)</f>
        <v>0</v>
      </c>
      <c r="H5" s="701"/>
    </row>
    <row r="6" spans="1:8" ht="15" customHeight="1">
      <c r="A6" s="714" t="s">
        <v>536</v>
      </c>
      <c r="B6" s="691" t="s">
        <v>537</v>
      </c>
      <c r="C6" s="695">
        <f>C7+C9</f>
        <v>300</v>
      </c>
      <c r="D6" s="695">
        <f>D7+D9</f>
        <v>175464</v>
      </c>
      <c r="E6" s="695">
        <f>E7+E9</f>
        <v>0</v>
      </c>
      <c r="F6" s="695">
        <f>F7+F9</f>
        <v>0</v>
      </c>
      <c r="G6" s="702">
        <f t="shared" si="0"/>
        <v>175464</v>
      </c>
      <c r="H6" s="701">
        <f>G6/(C6*1000)</f>
        <v>0.58</v>
      </c>
    </row>
    <row r="7" spans="1:8" ht="15" customHeight="1">
      <c r="A7" s="715"/>
      <c r="B7" s="1429" t="s">
        <v>538</v>
      </c>
      <c r="C7" s="1430">
        <f>SUM(C8:C8)</f>
        <v>300</v>
      </c>
      <c r="D7" s="1430">
        <f>SUM(D8:D8)</f>
        <v>175464</v>
      </c>
      <c r="E7" s="1430">
        <f>SUM(E8:E8)</f>
        <v>0</v>
      </c>
      <c r="F7" s="1430">
        <f>SUM(F8:F8)</f>
        <v>0</v>
      </c>
      <c r="G7" s="1431">
        <f t="shared" si="0"/>
        <v>175464</v>
      </c>
      <c r="H7" s="1432">
        <f>G7/(C7*1000)</f>
        <v>0.58</v>
      </c>
    </row>
    <row r="8" spans="1:8" ht="15" customHeight="1">
      <c r="A8" s="715"/>
      <c r="B8" s="716" t="s">
        <v>557</v>
      </c>
      <c r="C8" s="696">
        <v>300</v>
      </c>
      <c r="D8" s="696">
        <v>175464</v>
      </c>
      <c r="E8" s="696"/>
      <c r="F8" s="696"/>
      <c r="G8" s="703">
        <f t="shared" si="0"/>
        <v>175464</v>
      </c>
      <c r="H8" s="698">
        <f>G8/(C8*1000)</f>
        <v>0.58</v>
      </c>
    </row>
    <row r="9" spans="1:8" ht="15.75">
      <c r="A9" s="715"/>
      <c r="B9" s="1429" t="s">
        <v>540</v>
      </c>
      <c r="C9" s="696"/>
      <c r="D9" s="696"/>
      <c r="E9" s="696"/>
      <c r="F9" s="696"/>
      <c r="G9" s="717">
        <f t="shared" si="0"/>
        <v>0</v>
      </c>
      <c r="H9" s="699"/>
    </row>
    <row r="10" spans="1:8" ht="15.75">
      <c r="A10" s="714" t="s">
        <v>541</v>
      </c>
      <c r="B10" s="691" t="s">
        <v>542</v>
      </c>
      <c r="C10" s="700"/>
      <c r="D10" s="700"/>
      <c r="E10" s="700"/>
      <c r="F10" s="700"/>
      <c r="G10" s="700">
        <f t="shared" si="0"/>
        <v>0</v>
      </c>
      <c r="H10" s="1434"/>
    </row>
    <row r="11" spans="1:8" ht="15.75">
      <c r="A11" s="714" t="s">
        <v>543</v>
      </c>
      <c r="B11" s="691" t="s">
        <v>546</v>
      </c>
      <c r="C11" s="700"/>
      <c r="D11" s="700"/>
      <c r="E11" s="700"/>
      <c r="F11" s="700"/>
      <c r="G11" s="700">
        <f t="shared" si="0"/>
        <v>0</v>
      </c>
      <c r="H11" s="1434"/>
    </row>
    <row r="12" spans="1:8" ht="16.5" thickBot="1">
      <c r="A12" s="718" t="s">
        <v>544</v>
      </c>
      <c r="B12" s="692" t="s">
        <v>545</v>
      </c>
      <c r="C12" s="704">
        <f>(C3+C4+C5+C6)*27%</f>
        <v>81</v>
      </c>
      <c r="D12" s="704">
        <f>((D3+D4+D5+D6)*27%)+1</f>
        <v>47376</v>
      </c>
      <c r="E12" s="704">
        <f>(E3+E4+E5+E6)*27%</f>
        <v>0</v>
      </c>
      <c r="F12" s="704">
        <f>(F3+F4+F5+F6)*27%</f>
        <v>0</v>
      </c>
      <c r="G12" s="704">
        <f t="shared" si="0"/>
        <v>47376</v>
      </c>
      <c r="H12" s="705">
        <f>G12/(C12*1000)</f>
        <v>0.58</v>
      </c>
    </row>
    <row r="13" spans="1:8" s="1343" customFormat="1" ht="35.25" customHeight="1" thickBot="1">
      <c r="A13" s="719"/>
      <c r="B13" s="693" t="s">
        <v>547</v>
      </c>
      <c r="C13" s="693">
        <f>C3+C4+C5+C6+C10+C11+C12</f>
        <v>381</v>
      </c>
      <c r="D13" s="693">
        <f>D3+D4+D5+D6+D10+D11+D12</f>
        <v>222840</v>
      </c>
      <c r="E13" s="693">
        <f>E3+E4+E5+E6+E10+E11+E12</f>
        <v>0</v>
      </c>
      <c r="F13" s="693">
        <f>F3+F4+F5+F6+F10+F11+F12</f>
        <v>0</v>
      </c>
      <c r="G13" s="693">
        <f t="shared" si="0"/>
        <v>222840</v>
      </c>
      <c r="H13" s="706">
        <f>G13/(C13*1000)</f>
        <v>0.58</v>
      </c>
    </row>
  </sheetData>
  <sheetProtection/>
  <mergeCells count="5">
    <mergeCell ref="A1:A2"/>
    <mergeCell ref="H1:H2"/>
    <mergeCell ref="C1:C2"/>
    <mergeCell ref="B1:B2"/>
    <mergeCell ref="D1:G1"/>
  </mergeCells>
  <printOptions horizontalCentered="1"/>
  <pageMargins left="0.5905511811023623" right="0.5905511811023623" top="0.984251968503937" bottom="1.1811023622047245" header="0.3937007874015748" footer="0.3937007874015748"/>
  <pageSetup fitToHeight="1" fitToWidth="1" horizontalDpi="600" verticalDpi="600" orientation="landscape" paperSize="9" scale="74" r:id="rId1"/>
  <headerFooter alignWithMargins="0">
    <oddHeader>&amp;C&amp;"Times New Roman,Normál"PESTERZSÉBETI GYERMEKMOSOLY ÓVODA 
2017. ÉVI BERUHÁZÁSI KIADÁSAI 
&amp;R&amp;"Times New Roman,Normál"4.18. sz. melléklet&amp;"MS Sans Serif,Normál"
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Munka78"/>
  <dimension ref="A1:I49"/>
  <sheetViews>
    <sheetView zoomScalePageLayoutView="0" workbookViewId="0" topLeftCell="A1">
      <pane xSplit="2" ySplit="2" topLeftCell="C27" activePane="bottomRight" state="frozen"/>
      <selection pane="topLeft" activeCell="H18" sqref="H18:H20"/>
      <selection pane="topRight" activeCell="H18" sqref="H18:H20"/>
      <selection pane="bottomLeft" activeCell="H18" sqref="H18:H20"/>
      <selection pane="bottomRight" activeCell="D31" sqref="D31"/>
    </sheetView>
  </sheetViews>
  <sheetFormatPr defaultColWidth="15.7109375" defaultRowHeight="12.75"/>
  <cols>
    <col min="1" max="1" width="7.7109375" style="1147" bestFit="1" customWidth="1"/>
    <col min="2" max="2" width="53.28125" style="1147" customWidth="1"/>
    <col min="3" max="4" width="15.7109375" style="1146" customWidth="1"/>
    <col min="5" max="5" width="16.00390625" style="1146" customWidth="1"/>
    <col min="6" max="6" width="18.57421875" style="1146" customWidth="1"/>
    <col min="7" max="7" width="15.7109375" style="1146" customWidth="1"/>
    <col min="8" max="8" width="15.7109375" style="1147" customWidth="1"/>
    <col min="9" max="9" width="15.7109375" style="1146" customWidth="1"/>
    <col min="10" max="16384" width="15.7109375" style="1147" customWidth="1"/>
  </cols>
  <sheetData>
    <row r="1" spans="1:8" ht="13.5" customHeight="1">
      <c r="A1" s="1844" t="s">
        <v>523</v>
      </c>
      <c r="B1" s="1906" t="s">
        <v>1202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9" ht="48" thickBot="1">
      <c r="A2" s="1845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  <c r="I2" s="1454"/>
    </row>
    <row r="3" spans="1:9" s="1386" customFormat="1" ht="31.5">
      <c r="A3" s="1381" t="s">
        <v>185</v>
      </c>
      <c r="B3" s="1410" t="s">
        <v>186</v>
      </c>
      <c r="C3" s="1383"/>
      <c r="D3" s="1383"/>
      <c r="E3" s="1383"/>
      <c r="F3" s="1383"/>
      <c r="G3" s="1383">
        <f>SUM(D3:F3)</f>
        <v>0</v>
      </c>
      <c r="H3" s="1384"/>
      <c r="I3" s="1455"/>
    </row>
    <row r="4" spans="1:9" s="1386" customFormat="1" ht="31.5">
      <c r="A4" s="1387" t="s">
        <v>187</v>
      </c>
      <c r="B4" s="1410" t="s">
        <v>514</v>
      </c>
      <c r="C4" s="1392"/>
      <c r="D4" s="1392"/>
      <c r="E4" s="1392"/>
      <c r="F4" s="1392"/>
      <c r="G4" s="1392">
        <f>SUM(D4:F4)</f>
        <v>0</v>
      </c>
      <c r="H4" s="1393"/>
      <c r="I4" s="1455"/>
    </row>
    <row r="5" spans="1:9" s="1386" customFormat="1" ht="19.5" customHeight="1">
      <c r="A5" s="1387" t="s">
        <v>193</v>
      </c>
      <c r="B5" s="1391" t="s">
        <v>148</v>
      </c>
      <c r="C5" s="1392"/>
      <c r="D5" s="1392"/>
      <c r="E5" s="1392"/>
      <c r="F5" s="1392"/>
      <c r="G5" s="1392">
        <f>SUM(D5:F5)</f>
        <v>0</v>
      </c>
      <c r="H5" s="1393"/>
      <c r="I5" s="1455"/>
    </row>
    <row r="6" spans="1:9" s="1386" customFormat="1" ht="19.5" customHeight="1">
      <c r="A6" s="1387" t="s">
        <v>469</v>
      </c>
      <c r="B6" s="1391" t="s">
        <v>664</v>
      </c>
      <c r="C6" s="1392">
        <v>7875</v>
      </c>
      <c r="D6" s="1392">
        <v>6485112</v>
      </c>
      <c r="E6" s="1392">
        <v>233680</v>
      </c>
      <c r="F6" s="1392"/>
      <c r="G6" s="1392">
        <f>SUM(D6:F6)</f>
        <v>6718792</v>
      </c>
      <c r="H6" s="1393">
        <f>G6/(C6*1000)</f>
        <v>0.85</v>
      </c>
      <c r="I6" s="1455"/>
    </row>
    <row r="7" spans="1:9" s="1386" customFormat="1" ht="19.5" customHeight="1">
      <c r="A7" s="1387" t="s">
        <v>486</v>
      </c>
      <c r="B7" s="1391" t="s">
        <v>663</v>
      </c>
      <c r="C7" s="1392"/>
      <c r="D7" s="1392"/>
      <c r="E7" s="1392"/>
      <c r="F7" s="1392"/>
      <c r="G7" s="1392"/>
      <c r="H7" s="1393"/>
      <c r="I7" s="1455"/>
    </row>
    <row r="8" spans="1:9" s="1386" customFormat="1" ht="19.5" customHeight="1">
      <c r="A8" s="1387" t="s">
        <v>471</v>
      </c>
      <c r="B8" s="1391" t="s">
        <v>475</v>
      </c>
      <c r="C8" s="1392"/>
      <c r="D8" s="1392"/>
      <c r="E8" s="1392"/>
      <c r="F8" s="1392"/>
      <c r="G8" s="1392"/>
      <c r="H8" s="1393"/>
      <c r="I8" s="1455"/>
    </row>
    <row r="9" spans="1:9" s="1386" customFormat="1" ht="19.5" customHeight="1" thickBot="1">
      <c r="A9" s="1394" t="s">
        <v>473</v>
      </c>
      <c r="B9" s="1395" t="s">
        <v>474</v>
      </c>
      <c r="C9" s="1396"/>
      <c r="D9" s="1396"/>
      <c r="E9" s="1396"/>
      <c r="F9" s="1396"/>
      <c r="G9" s="1396"/>
      <c r="H9" s="1397"/>
      <c r="I9" s="1455"/>
    </row>
    <row r="10" spans="1:9" s="1399" customFormat="1" ht="15" customHeight="1" thickBot="1">
      <c r="A10" s="782" t="s">
        <v>476</v>
      </c>
      <c r="B10" s="783" t="s">
        <v>286</v>
      </c>
      <c r="C10" s="784">
        <f>C3+C4+C5+C6+C7+C8+C9</f>
        <v>7875</v>
      </c>
      <c r="D10" s="784">
        <f>D3+D4+D5+D6+D7+D8+D9</f>
        <v>6485112</v>
      </c>
      <c r="E10" s="784">
        <f>E3+E4+E5+E6+E7+E8+E9</f>
        <v>233680</v>
      </c>
      <c r="F10" s="784">
        <f>F3+F4+F5+F6+F7+F8+F9</f>
        <v>0</v>
      </c>
      <c r="G10" s="1139">
        <f>SUM(D10:F10)</f>
        <v>6718792</v>
      </c>
      <c r="H10" s="786">
        <f>G10/(C10*1000)</f>
        <v>0.85</v>
      </c>
      <c r="I10" s="1398"/>
    </row>
    <row r="11" spans="1:9" s="1399" customFormat="1" ht="15" customHeight="1">
      <c r="A11" s="1381" t="s">
        <v>477</v>
      </c>
      <c r="B11" s="1382" t="s">
        <v>478</v>
      </c>
      <c r="C11" s="1383">
        <f>+C12</f>
        <v>241421</v>
      </c>
      <c r="D11" s="1383">
        <f>+D12</f>
        <v>251633453</v>
      </c>
      <c r="E11" s="1383">
        <f>+E12</f>
        <v>3424500</v>
      </c>
      <c r="F11" s="1383">
        <f>+F12</f>
        <v>0</v>
      </c>
      <c r="G11" s="1383">
        <f>+G12</f>
        <v>255057953</v>
      </c>
      <c r="H11" s="1384">
        <f>G11/(C11*1000)</f>
        <v>1.06</v>
      </c>
      <c r="I11" s="1398"/>
    </row>
    <row r="12" spans="1:9" s="1399" customFormat="1" ht="15" customHeight="1">
      <c r="A12" s="1400" t="s">
        <v>483</v>
      </c>
      <c r="B12" s="1401" t="s">
        <v>484</v>
      </c>
      <c r="C12" s="1402">
        <f>+C13+C16</f>
        <v>241421</v>
      </c>
      <c r="D12" s="1402">
        <f>+D13+D16</f>
        <v>251633453</v>
      </c>
      <c r="E12" s="1402">
        <f>+E13+E16</f>
        <v>3424500</v>
      </c>
      <c r="F12" s="1402">
        <f>+F13+F16</f>
        <v>0</v>
      </c>
      <c r="G12" s="1402">
        <f aca="true" t="shared" si="0" ref="G12:G19">SUM(D12:F12)</f>
        <v>255057953</v>
      </c>
      <c r="H12" s="1403">
        <f>G12/(C12*1000)</f>
        <v>1.06</v>
      </c>
      <c r="I12" s="1398"/>
    </row>
    <row r="13" spans="1:9" s="1399" customFormat="1" ht="15" customHeight="1">
      <c r="A13" s="1160" t="s">
        <v>479</v>
      </c>
      <c r="B13" s="1166" t="s">
        <v>480</v>
      </c>
      <c r="C13" s="1167">
        <f>SUM(C14:C15)</f>
        <v>63</v>
      </c>
      <c r="D13" s="1167">
        <f>SUM(D14:D15)</f>
        <v>297238</v>
      </c>
      <c r="E13" s="1167">
        <f>SUM(E14:E15)</f>
        <v>0</v>
      </c>
      <c r="F13" s="1167">
        <f>SUM(F14:F15)</f>
        <v>0</v>
      </c>
      <c r="G13" s="1162">
        <f>SUM(D13:F13)</f>
        <v>297238</v>
      </c>
      <c r="H13" s="1168">
        <f>G13/(C13*1000)</f>
        <v>4.72</v>
      </c>
      <c r="I13" s="1398"/>
    </row>
    <row r="14" spans="1:9" s="1399" customFormat="1" ht="15" customHeight="1">
      <c r="A14" s="809"/>
      <c r="B14" s="1148" t="s">
        <v>241</v>
      </c>
      <c r="C14" s="811">
        <v>63</v>
      </c>
      <c r="D14" s="811">
        <v>297238</v>
      </c>
      <c r="E14" s="811"/>
      <c r="F14" s="811"/>
      <c r="G14" s="811">
        <f t="shared" si="0"/>
        <v>297238</v>
      </c>
      <c r="H14" s="1169">
        <f>G14/(C14*1000)</f>
        <v>4.72</v>
      </c>
      <c r="I14" s="1398"/>
    </row>
    <row r="15" spans="1:9" s="1399" customFormat="1" ht="15" customHeight="1">
      <c r="A15" s="809"/>
      <c r="B15" s="1148" t="s">
        <v>242</v>
      </c>
      <c r="C15" s="811"/>
      <c r="D15" s="811"/>
      <c r="E15" s="811"/>
      <c r="F15" s="811"/>
      <c r="G15" s="811">
        <f t="shared" si="0"/>
        <v>0</v>
      </c>
      <c r="H15" s="1169"/>
      <c r="I15" s="1398"/>
    </row>
    <row r="16" spans="1:9" s="1399" customFormat="1" ht="15" customHeight="1">
      <c r="A16" s="1160" t="s">
        <v>665</v>
      </c>
      <c r="B16" s="1161" t="s">
        <v>666</v>
      </c>
      <c r="C16" s="1162">
        <f>SUM(C17:C18)</f>
        <v>241358</v>
      </c>
      <c r="D16" s="1162">
        <f>SUM(D17:D18)</f>
        <v>251336215</v>
      </c>
      <c r="E16" s="1162">
        <f>SUM(E17:E18)</f>
        <v>3424500</v>
      </c>
      <c r="F16" s="1162">
        <f>SUM(F17:F18)</f>
        <v>0</v>
      </c>
      <c r="G16" s="793">
        <f>SUM(D16:F16)</f>
        <v>254760715</v>
      </c>
      <c r="H16" s="1163">
        <f>G16/(C16*1000)</f>
        <v>1.06</v>
      </c>
      <c r="I16" s="1398"/>
    </row>
    <row r="17" spans="1:9" s="1407" customFormat="1" ht="15" customHeight="1">
      <c r="A17" s="1171"/>
      <c r="B17" s="1172" t="s">
        <v>667</v>
      </c>
      <c r="C17" s="717">
        <v>240825</v>
      </c>
      <c r="D17" s="717">
        <v>251336215</v>
      </c>
      <c r="E17" s="717">
        <v>3424500</v>
      </c>
      <c r="F17" s="717"/>
      <c r="G17" s="797">
        <f t="shared" si="0"/>
        <v>254760715</v>
      </c>
      <c r="H17" s="1173">
        <f>G17/(C17*1000)</f>
        <v>1.06</v>
      </c>
      <c r="I17" s="1406"/>
    </row>
    <row r="18" spans="1:9" s="1405" customFormat="1" ht="15" customHeight="1" thickBot="1">
      <c r="A18" s="1171"/>
      <c r="B18" s="1172" t="s">
        <v>668</v>
      </c>
      <c r="C18" s="717">
        <v>533</v>
      </c>
      <c r="D18" s="717"/>
      <c r="E18" s="717"/>
      <c r="F18" s="717"/>
      <c r="G18" s="797">
        <f t="shared" si="0"/>
        <v>0</v>
      </c>
      <c r="H18" s="1173">
        <f>G18/(C18*1000)</f>
        <v>0</v>
      </c>
      <c r="I18" s="1458"/>
    </row>
    <row r="19" spans="1:9" s="1386" customFormat="1" ht="24.75" customHeight="1" thickBot="1">
      <c r="A19" s="1141"/>
      <c r="B19" s="1142" t="s">
        <v>78</v>
      </c>
      <c r="C19" s="1408">
        <f>C10+C11</f>
        <v>249296</v>
      </c>
      <c r="D19" s="1408">
        <f>D10+D11</f>
        <v>258118565</v>
      </c>
      <c r="E19" s="1408">
        <f>E10+E11</f>
        <v>3658180</v>
      </c>
      <c r="F19" s="1409">
        <f>F10+F11</f>
        <v>0</v>
      </c>
      <c r="G19" s="1408">
        <f t="shared" si="0"/>
        <v>261776745</v>
      </c>
      <c r="H19" s="1144">
        <f>G19/(C19*1000)</f>
        <v>1.05</v>
      </c>
      <c r="I19" s="1455"/>
    </row>
    <row r="20" spans="1:8" ht="16.5" thickBot="1">
      <c r="A20" s="1140"/>
      <c r="B20" s="1140"/>
      <c r="C20" s="1140"/>
      <c r="D20" s="1140"/>
      <c r="E20" s="1140"/>
      <c r="F20" s="1140"/>
      <c r="G20" s="1140"/>
      <c r="H20" s="1140"/>
    </row>
    <row r="21" spans="1:8" ht="13.5" customHeight="1">
      <c r="A21" s="805"/>
      <c r="B21" s="806" t="s">
        <v>549</v>
      </c>
      <c r="C21" s="807">
        <f>C3+C5+C6+C8</f>
        <v>7875</v>
      </c>
      <c r="D21" s="807">
        <f>D3+D5+D6+D8</f>
        <v>6485112</v>
      </c>
      <c r="E21" s="807">
        <f>E3+E5+E6+E8</f>
        <v>233680</v>
      </c>
      <c r="F21" s="807">
        <f>F3+F5+F6+F8</f>
        <v>0</v>
      </c>
      <c r="G21" s="807">
        <f aca="true" t="shared" si="1" ref="G21:G27">SUM(D21:F21)</f>
        <v>6718792</v>
      </c>
      <c r="H21" s="808">
        <f>G21/(C21*1000)</f>
        <v>0.85</v>
      </c>
    </row>
    <row r="22" spans="1:8" ht="15.75">
      <c r="A22" s="809"/>
      <c r="B22" s="810" t="s">
        <v>550</v>
      </c>
      <c r="C22" s="811">
        <f>C4+C7+C9</f>
        <v>0</v>
      </c>
      <c r="D22" s="811">
        <f>D4+D7+D9</f>
        <v>0</v>
      </c>
      <c r="E22" s="811">
        <f>E4+E7+E9</f>
        <v>0</v>
      </c>
      <c r="F22" s="811">
        <f>F4+F7+F9</f>
        <v>0</v>
      </c>
      <c r="G22" s="811">
        <f t="shared" si="1"/>
        <v>0</v>
      </c>
      <c r="H22" s="812"/>
    </row>
    <row r="23" spans="1:8" ht="15.75">
      <c r="A23" s="809"/>
      <c r="B23" s="810" t="s">
        <v>551</v>
      </c>
      <c r="C23" s="811">
        <f aca="true" t="shared" si="2" ref="C23:F24">+C14+C17</f>
        <v>240888</v>
      </c>
      <c r="D23" s="811">
        <f t="shared" si="2"/>
        <v>251633453</v>
      </c>
      <c r="E23" s="811">
        <f t="shared" si="2"/>
        <v>3424500</v>
      </c>
      <c r="F23" s="811">
        <f t="shared" si="2"/>
        <v>0</v>
      </c>
      <c r="G23" s="811">
        <f t="shared" si="1"/>
        <v>255057953</v>
      </c>
      <c r="H23" s="812">
        <f>G23/(C23*1000)</f>
        <v>1.06</v>
      </c>
    </row>
    <row r="24" spans="1:8" ht="16.5" thickBot="1">
      <c r="A24" s="813"/>
      <c r="B24" s="814" t="s">
        <v>552</v>
      </c>
      <c r="C24" s="815">
        <f t="shared" si="2"/>
        <v>533</v>
      </c>
      <c r="D24" s="815">
        <f t="shared" si="2"/>
        <v>0</v>
      </c>
      <c r="E24" s="815">
        <f t="shared" si="2"/>
        <v>0</v>
      </c>
      <c r="F24" s="815">
        <f t="shared" si="2"/>
        <v>0</v>
      </c>
      <c r="G24" s="1175">
        <f t="shared" si="1"/>
        <v>0</v>
      </c>
      <c r="H24" s="816">
        <f>G24/(C24*1000)</f>
        <v>0</v>
      </c>
    </row>
    <row r="25" spans="1:8" ht="15.75">
      <c r="A25" s="817"/>
      <c r="B25" s="818" t="s">
        <v>553</v>
      </c>
      <c r="C25" s="819">
        <f aca="true" t="shared" si="3" ref="C25:F26">C21+C23</f>
        <v>248763</v>
      </c>
      <c r="D25" s="819">
        <f t="shared" si="3"/>
        <v>258118565</v>
      </c>
      <c r="E25" s="819">
        <f t="shared" si="3"/>
        <v>3658180</v>
      </c>
      <c r="F25" s="818">
        <f t="shared" si="3"/>
        <v>0</v>
      </c>
      <c r="G25" s="819">
        <f t="shared" si="1"/>
        <v>261776745</v>
      </c>
      <c r="H25" s="820">
        <f>G25/(C25*1000)</f>
        <v>1.05</v>
      </c>
    </row>
    <row r="26" spans="1:8" ht="16.5" thickBot="1">
      <c r="A26" s="821"/>
      <c r="B26" s="822" t="s">
        <v>554</v>
      </c>
      <c r="C26" s="823">
        <f t="shared" si="3"/>
        <v>533</v>
      </c>
      <c r="D26" s="823">
        <f t="shared" si="3"/>
        <v>0</v>
      </c>
      <c r="E26" s="823">
        <f t="shared" si="3"/>
        <v>0</v>
      </c>
      <c r="F26" s="822">
        <f t="shared" si="3"/>
        <v>0</v>
      </c>
      <c r="G26" s="823">
        <f t="shared" si="1"/>
        <v>0</v>
      </c>
      <c r="H26" s="824">
        <f>G26/(C26*1000)</f>
        <v>0</v>
      </c>
    </row>
    <row r="27" spans="1:8" ht="16.5" thickBot="1">
      <c r="A27" s="825"/>
      <c r="B27" s="826" t="s">
        <v>555</v>
      </c>
      <c r="C27" s="827">
        <f>C25+C26</f>
        <v>249296</v>
      </c>
      <c r="D27" s="827">
        <f>D25+D26</f>
        <v>258118565</v>
      </c>
      <c r="E27" s="827">
        <f>E25+E26</f>
        <v>3658180</v>
      </c>
      <c r="F27" s="826">
        <f>F25+F26</f>
        <v>0</v>
      </c>
      <c r="G27" s="827">
        <f t="shared" si="1"/>
        <v>261776745</v>
      </c>
      <c r="H27" s="828">
        <f>G27/(C27*1000)</f>
        <v>1.05</v>
      </c>
    </row>
    <row r="28" ht="16.5" thickBot="1"/>
    <row r="29" spans="1:8" ht="13.5" customHeight="1">
      <c r="A29" s="1904" t="s">
        <v>523</v>
      </c>
      <c r="B29" s="1906" t="s">
        <v>1203</v>
      </c>
      <c r="C29" s="1854" t="s">
        <v>1065</v>
      </c>
      <c r="D29" s="1851" t="s">
        <v>1050</v>
      </c>
      <c r="E29" s="1852"/>
      <c r="F29" s="1852"/>
      <c r="G29" s="1853"/>
      <c r="H29" s="1848" t="s">
        <v>1051</v>
      </c>
    </row>
    <row r="30" spans="1:9" ht="48" thickBot="1">
      <c r="A30" s="1905"/>
      <c r="B30" s="1907"/>
      <c r="C30" s="1855"/>
      <c r="D30" s="1136" t="s">
        <v>287</v>
      </c>
      <c r="E30" s="1136" t="s">
        <v>795</v>
      </c>
      <c r="F30" s="1136" t="s">
        <v>796</v>
      </c>
      <c r="G30" s="1136" t="s">
        <v>65</v>
      </c>
      <c r="H30" s="1849"/>
      <c r="I30" s="1454"/>
    </row>
    <row r="31" spans="1:9" s="1386" customFormat="1" ht="24.75" customHeight="1">
      <c r="A31" s="1381" t="s">
        <v>104</v>
      </c>
      <c r="B31" s="1382" t="s">
        <v>105</v>
      </c>
      <c r="C31" s="1383">
        <v>143355</v>
      </c>
      <c r="D31" s="1383">
        <v>158413220</v>
      </c>
      <c r="E31" s="1383">
        <v>2500000</v>
      </c>
      <c r="F31" s="1383"/>
      <c r="G31" s="1383">
        <f aca="true" t="shared" si="4" ref="G31:G41">SUM(D31:F31)</f>
        <v>160913220</v>
      </c>
      <c r="H31" s="1384">
        <f aca="true" t="shared" si="5" ref="H31:H36">G31/(C31*1000)</f>
        <v>1.12</v>
      </c>
      <c r="I31" s="1455"/>
    </row>
    <row r="32" spans="1:9" s="1386" customFormat="1" ht="31.5">
      <c r="A32" s="1387" t="s">
        <v>106</v>
      </c>
      <c r="B32" s="1410" t="s">
        <v>107</v>
      </c>
      <c r="C32" s="1392">
        <v>41406</v>
      </c>
      <c r="D32" s="1392">
        <v>38410399</v>
      </c>
      <c r="E32" s="1392">
        <v>924500</v>
      </c>
      <c r="F32" s="1392"/>
      <c r="G32" s="1392">
        <f t="shared" si="4"/>
        <v>39334899</v>
      </c>
      <c r="H32" s="1393">
        <f t="shared" si="5"/>
        <v>0.95</v>
      </c>
      <c r="I32" s="1455"/>
    </row>
    <row r="33" spans="1:9" s="1386" customFormat="1" ht="24.75" customHeight="1">
      <c r="A33" s="1387" t="s">
        <v>108</v>
      </c>
      <c r="B33" s="1391" t="s">
        <v>109</v>
      </c>
      <c r="C33" s="1392">
        <v>64002</v>
      </c>
      <c r="D33" s="1392">
        <v>61294946</v>
      </c>
      <c r="E33" s="1392">
        <v>233680</v>
      </c>
      <c r="F33" s="1392"/>
      <c r="G33" s="1392">
        <f t="shared" si="4"/>
        <v>61528626</v>
      </c>
      <c r="H33" s="1393">
        <f t="shared" si="5"/>
        <v>0.96</v>
      </c>
      <c r="I33" s="1455"/>
    </row>
    <row r="34" spans="1:9" s="1386" customFormat="1" ht="24.75" customHeight="1">
      <c r="A34" s="1387" t="s">
        <v>110</v>
      </c>
      <c r="B34" s="1391" t="s">
        <v>111</v>
      </c>
      <c r="C34" s="1392"/>
      <c r="D34" s="1392"/>
      <c r="E34" s="1392"/>
      <c r="F34" s="1392"/>
      <c r="G34" s="1392">
        <f t="shared" si="4"/>
        <v>0</v>
      </c>
      <c r="H34" s="1393"/>
      <c r="I34" s="1455"/>
    </row>
    <row r="35" spans="1:9" s="1386" customFormat="1" ht="24.75" customHeight="1">
      <c r="A35" s="1387" t="s">
        <v>112</v>
      </c>
      <c r="B35" s="1391" t="s">
        <v>113</v>
      </c>
      <c r="C35" s="1392"/>
      <c r="D35" s="1392"/>
      <c r="E35" s="1392"/>
      <c r="F35" s="1392"/>
      <c r="G35" s="1392">
        <f t="shared" si="4"/>
        <v>0</v>
      </c>
      <c r="H35" s="1393"/>
      <c r="I35" s="1455"/>
    </row>
    <row r="36" spans="1:9" s="1386" customFormat="1" ht="24.75" customHeight="1">
      <c r="A36" s="1387" t="s">
        <v>548</v>
      </c>
      <c r="B36" s="1391" t="s">
        <v>121</v>
      </c>
      <c r="C36" s="1392">
        <v>533</v>
      </c>
      <c r="D36" s="1392"/>
      <c r="E36" s="1392"/>
      <c r="F36" s="1392"/>
      <c r="G36" s="1392">
        <f t="shared" si="4"/>
        <v>0</v>
      </c>
      <c r="H36" s="1393">
        <f t="shared" si="5"/>
        <v>0</v>
      </c>
      <c r="I36" s="1455"/>
    </row>
    <row r="37" spans="1:9" s="1386" customFormat="1" ht="24.75" customHeight="1">
      <c r="A37" s="1387" t="s">
        <v>122</v>
      </c>
      <c r="B37" s="1391" t="s">
        <v>123</v>
      </c>
      <c r="C37" s="1392"/>
      <c r="D37" s="1392"/>
      <c r="E37" s="1392"/>
      <c r="F37" s="1392"/>
      <c r="G37" s="1392">
        <f t="shared" si="4"/>
        <v>0</v>
      </c>
      <c r="H37" s="1393"/>
      <c r="I37" s="1455"/>
    </row>
    <row r="38" spans="1:9" s="1386" customFormat="1" ht="24.75" customHeight="1" thickBot="1">
      <c r="A38" s="1394" t="s">
        <v>124</v>
      </c>
      <c r="B38" s="1395" t="s">
        <v>125</v>
      </c>
      <c r="C38" s="1396"/>
      <c r="D38" s="1396"/>
      <c r="E38" s="1396"/>
      <c r="F38" s="1396"/>
      <c r="G38" s="1396">
        <f t="shared" si="4"/>
        <v>0</v>
      </c>
      <c r="H38" s="1411"/>
      <c r="I38" s="1455"/>
    </row>
    <row r="39" spans="1:9" ht="16.5" thickBot="1">
      <c r="A39" s="782" t="s">
        <v>138</v>
      </c>
      <c r="B39" s="783" t="s">
        <v>139</v>
      </c>
      <c r="C39" s="784">
        <f>C31+C32+C33+C34+C35+C36+C37+C38</f>
        <v>249296</v>
      </c>
      <c r="D39" s="784">
        <f>D31+D32+D33+D34+D35+D36+D37+D38</f>
        <v>258118565</v>
      </c>
      <c r="E39" s="784">
        <f>E31+E32+E33+E34+E35+E36+E37+E38</f>
        <v>3658180</v>
      </c>
      <c r="F39" s="784">
        <f>F31+F32+F33+F34+F35+F36+F37+F38</f>
        <v>0</v>
      </c>
      <c r="G39" s="1139">
        <f t="shared" si="4"/>
        <v>261776745</v>
      </c>
      <c r="H39" s="786">
        <f>G39/(C39*1000)</f>
        <v>1.05</v>
      </c>
      <c r="I39" s="1454"/>
    </row>
    <row r="40" spans="1:9" s="1386" customFormat="1" ht="24.75" customHeight="1" thickBot="1">
      <c r="A40" s="1437" t="s">
        <v>129</v>
      </c>
      <c r="B40" s="1438" t="s">
        <v>130</v>
      </c>
      <c r="C40" s="1439"/>
      <c r="D40" s="1439"/>
      <c r="E40" s="1439"/>
      <c r="F40" s="1439"/>
      <c r="G40" s="1439">
        <f t="shared" si="4"/>
        <v>0</v>
      </c>
      <c r="H40" s="1440"/>
      <c r="I40" s="1455"/>
    </row>
    <row r="41" spans="1:9" s="1449" customFormat="1" ht="24.75" customHeight="1" thickBot="1">
      <c r="A41" s="1141"/>
      <c r="B41" s="1142" t="s">
        <v>77</v>
      </c>
      <c r="C41" s="1408">
        <f>C40+C39</f>
        <v>249296</v>
      </c>
      <c r="D41" s="1408">
        <f>D40+D39</f>
        <v>258118565</v>
      </c>
      <c r="E41" s="1408">
        <f>E40+E39</f>
        <v>3658180</v>
      </c>
      <c r="F41" s="1409">
        <f>F40+F39</f>
        <v>0</v>
      </c>
      <c r="G41" s="1408">
        <f t="shared" si="4"/>
        <v>261776745</v>
      </c>
      <c r="H41" s="1144">
        <f>G41/(C41*1000)</f>
        <v>1.05</v>
      </c>
      <c r="I41" s="1459"/>
    </row>
    <row r="42" spans="1:8" ht="16.5" thickBot="1">
      <c r="A42" s="800"/>
      <c r="B42" s="801"/>
      <c r="C42" s="802"/>
      <c r="D42" s="802"/>
      <c r="E42" s="802"/>
      <c r="F42" s="803"/>
      <c r="G42" s="803"/>
      <c r="H42" s="804"/>
    </row>
    <row r="43" spans="1:8" ht="15.75">
      <c r="A43" s="805"/>
      <c r="B43" s="806" t="s">
        <v>158</v>
      </c>
      <c r="C43" s="807">
        <f>C31+C32+C33+C34+C35</f>
        <v>248763</v>
      </c>
      <c r="D43" s="807">
        <f>D31+D32+D33+D34+D35</f>
        <v>258118565</v>
      </c>
      <c r="E43" s="807">
        <f>E31+E32+E33+E34+E35</f>
        <v>3658180</v>
      </c>
      <c r="F43" s="807">
        <f>F31+F32+F33+F34+F35</f>
        <v>0</v>
      </c>
      <c r="G43" s="807">
        <f>SUM(D43:F43)</f>
        <v>261776745</v>
      </c>
      <c r="H43" s="808">
        <f>G43/(C43*1000)</f>
        <v>1.05</v>
      </c>
    </row>
    <row r="44" spans="1:8" ht="15.75">
      <c r="A44" s="809"/>
      <c r="B44" s="810" t="s">
        <v>159</v>
      </c>
      <c r="C44" s="811">
        <f>C36+C37+C38</f>
        <v>533</v>
      </c>
      <c r="D44" s="811">
        <f>D36+D37+D38</f>
        <v>0</v>
      </c>
      <c r="E44" s="811">
        <f>E36+E37+E38</f>
        <v>0</v>
      </c>
      <c r="F44" s="811">
        <f>F36+F37+F38</f>
        <v>0</v>
      </c>
      <c r="G44" s="811">
        <f>SUM(D44:F44)</f>
        <v>0</v>
      </c>
      <c r="H44" s="812">
        <f>G44/(C44*1000)</f>
        <v>0</v>
      </c>
    </row>
    <row r="45" spans="1:8" ht="15.75">
      <c r="A45" s="809"/>
      <c r="B45" s="810" t="s">
        <v>160</v>
      </c>
      <c r="C45" s="811">
        <f>C40</f>
        <v>0</v>
      </c>
      <c r="D45" s="811">
        <f>D40</f>
        <v>0</v>
      </c>
      <c r="E45" s="811">
        <f>E40</f>
        <v>0</v>
      </c>
      <c r="F45" s="811">
        <f>F40</f>
        <v>0</v>
      </c>
      <c r="G45" s="811">
        <f>SUM(D45:F45)</f>
        <v>0</v>
      </c>
      <c r="H45" s="812"/>
    </row>
    <row r="46" spans="1:8" ht="16.5" thickBot="1">
      <c r="A46" s="813"/>
      <c r="B46" s="814" t="s">
        <v>161</v>
      </c>
      <c r="C46" s="815">
        <f>C40</f>
        <v>0</v>
      </c>
      <c r="D46" s="815">
        <f>D40</f>
        <v>0</v>
      </c>
      <c r="E46" s="815">
        <f>E40</f>
        <v>0</v>
      </c>
      <c r="F46" s="815">
        <f>F40</f>
        <v>0</v>
      </c>
      <c r="G46" s="815">
        <f>G40</f>
        <v>0</v>
      </c>
      <c r="H46" s="816"/>
    </row>
    <row r="47" spans="1:8" ht="15.75">
      <c r="A47" s="817"/>
      <c r="B47" s="818" t="s">
        <v>162</v>
      </c>
      <c r="C47" s="819">
        <f aca="true" t="shared" si="6" ref="C47:F48">C43+C45</f>
        <v>248763</v>
      </c>
      <c r="D47" s="819">
        <f t="shared" si="6"/>
        <v>258118565</v>
      </c>
      <c r="E47" s="819">
        <f t="shared" si="6"/>
        <v>3658180</v>
      </c>
      <c r="F47" s="818">
        <f t="shared" si="6"/>
        <v>0</v>
      </c>
      <c r="G47" s="819">
        <f>SUM(D47:F47)</f>
        <v>261776745</v>
      </c>
      <c r="H47" s="820">
        <f>G47/(C47*1000)</f>
        <v>1.05</v>
      </c>
    </row>
    <row r="48" spans="1:8" ht="16.5" thickBot="1">
      <c r="A48" s="821"/>
      <c r="B48" s="822" t="s">
        <v>163</v>
      </c>
      <c r="C48" s="823">
        <f t="shared" si="6"/>
        <v>533</v>
      </c>
      <c r="D48" s="823">
        <f t="shared" si="6"/>
        <v>0</v>
      </c>
      <c r="E48" s="823">
        <f t="shared" si="6"/>
        <v>0</v>
      </c>
      <c r="F48" s="822">
        <f t="shared" si="6"/>
        <v>0</v>
      </c>
      <c r="G48" s="823">
        <f>SUM(D48:F48)</f>
        <v>0</v>
      </c>
      <c r="H48" s="824">
        <f>G48/(C48*1000)</f>
        <v>0</v>
      </c>
    </row>
    <row r="49" spans="1:8" ht="16.5" thickBot="1">
      <c r="A49" s="825"/>
      <c r="B49" s="826" t="s">
        <v>164</v>
      </c>
      <c r="C49" s="827">
        <f>C47+C48</f>
        <v>249296</v>
      </c>
      <c r="D49" s="827">
        <f>D47+D48</f>
        <v>258118565</v>
      </c>
      <c r="E49" s="827">
        <f>E47+E48</f>
        <v>3658180</v>
      </c>
      <c r="F49" s="826">
        <f>F47+F48</f>
        <v>0</v>
      </c>
      <c r="G49" s="827">
        <f>SUM(D49:F49)</f>
        <v>261776745</v>
      </c>
      <c r="H49" s="828">
        <f>G49/(C49*1000)</f>
        <v>1.05</v>
      </c>
    </row>
  </sheetData>
  <sheetProtection/>
  <mergeCells count="10">
    <mergeCell ref="H1:H2"/>
    <mergeCell ref="A29:A30"/>
    <mergeCell ref="B29:B30"/>
    <mergeCell ref="C29:C30"/>
    <mergeCell ref="D29:G29"/>
    <mergeCell ref="H29:H30"/>
    <mergeCell ref="A1:A2"/>
    <mergeCell ref="D1:G1"/>
    <mergeCell ref="C1:C2"/>
    <mergeCell ref="B1:B2"/>
  </mergeCells>
  <printOptions horizontalCentered="1"/>
  <pageMargins left="0.3937007874015748" right="0.3937007874015748" top="0.7874015748031497" bottom="0.7874015748031497" header="0.3937007874015748" footer="0.3937007874015748"/>
  <pageSetup fitToHeight="2" horizontalDpi="300" verticalDpi="300" orientation="landscape" paperSize="9" scale="89" r:id="rId1"/>
  <headerFooter alignWithMargins="0">
    <oddHeader>&amp;C&amp;"Times New Roman,Félkövér"PESTERZSÉBETI KEREKERDŐ ÓVODA 
 2017. ÉVI BEVÉTELEI ÉS KIADÁSAI
&amp;R&amp;"Times New Roman,Félkövér"4.19. sz. melléklet&amp;"MS Sans Serif,Normál"
</oddHeader>
  </headerFooter>
  <rowBreaks count="1" manualBreakCount="1">
    <brk id="28" max="7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sheetPr codeName="Munka79">
    <pageSetUpPr fitToPage="1"/>
  </sheetPr>
  <dimension ref="A1:H14"/>
  <sheetViews>
    <sheetView zoomScale="80" zoomScaleNormal="80" zoomScalePageLayoutView="0" workbookViewId="0" topLeftCell="A1">
      <pane ySplit="1" topLeftCell="A2" activePane="bottomLeft" state="frozen"/>
      <selection pane="topLeft" activeCell="D16" sqref="D16"/>
      <selection pane="bottomLeft" activeCell="G22" sqref="G22"/>
    </sheetView>
  </sheetViews>
  <sheetFormatPr defaultColWidth="9.140625" defaultRowHeight="12.75"/>
  <cols>
    <col min="1" max="1" width="9.140625" style="694" customWidth="1"/>
    <col min="2" max="2" width="62.140625" style="694" customWidth="1"/>
    <col min="3" max="8" width="18.28125" style="694" customWidth="1"/>
    <col min="9" max="16384" width="9.140625" style="694" customWidth="1"/>
  </cols>
  <sheetData>
    <row r="1" spans="1:8" ht="13.5" customHeight="1">
      <c r="A1" s="1928" t="s">
        <v>523</v>
      </c>
      <c r="B1" s="1906" t="s">
        <v>513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8" ht="48" thickBot="1">
      <c r="A2" s="1929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8" ht="15.75">
      <c r="A3" s="707" t="s">
        <v>213</v>
      </c>
      <c r="B3" s="708" t="s">
        <v>214</v>
      </c>
      <c r="C3" s="709"/>
      <c r="D3" s="709"/>
      <c r="E3" s="708"/>
      <c r="F3" s="708"/>
      <c r="G3" s="709">
        <f>SUM(D3:F3)</f>
        <v>0</v>
      </c>
      <c r="H3" s="721"/>
    </row>
    <row r="4" spans="1:8" ht="15" customHeight="1">
      <c r="A4" s="714" t="s">
        <v>215</v>
      </c>
      <c r="B4" s="691" t="s">
        <v>216</v>
      </c>
      <c r="C4" s="695"/>
      <c r="D4" s="695"/>
      <c r="E4" s="695"/>
      <c r="F4" s="695"/>
      <c r="G4" s="695">
        <f>SUM(D4:F4)</f>
        <v>0</v>
      </c>
      <c r="H4" s="1427"/>
    </row>
    <row r="5" spans="1:8" ht="15" customHeight="1">
      <c r="A5" s="714" t="s">
        <v>534</v>
      </c>
      <c r="B5" s="691" t="s">
        <v>535</v>
      </c>
      <c r="C5" s="700">
        <f>SUM(C6:C6)</f>
        <v>100</v>
      </c>
      <c r="D5" s="695">
        <f>SUM(D6:D6)</f>
        <v>0</v>
      </c>
      <c r="E5" s="1428">
        <f>SUM(E6:E6)</f>
        <v>0</v>
      </c>
      <c r="F5" s="1428">
        <f>SUM(F6:F6)</f>
        <v>0</v>
      </c>
      <c r="G5" s="700">
        <f aca="true" t="shared" si="0" ref="G5:G14">SUM(D5:F5)</f>
        <v>0</v>
      </c>
      <c r="H5" s="701"/>
    </row>
    <row r="6" spans="1:8" ht="15" customHeight="1">
      <c r="A6" s="715"/>
      <c r="B6" s="690" t="s">
        <v>556</v>
      </c>
      <c r="C6" s="696">
        <v>100</v>
      </c>
      <c r="D6" s="696"/>
      <c r="E6" s="697"/>
      <c r="F6" s="697"/>
      <c r="G6" s="696">
        <f t="shared" si="0"/>
        <v>0</v>
      </c>
      <c r="H6" s="698"/>
    </row>
    <row r="7" spans="1:8" ht="15" customHeight="1">
      <c r="A7" s="714" t="s">
        <v>536</v>
      </c>
      <c r="B7" s="691" t="s">
        <v>537</v>
      </c>
      <c r="C7" s="695">
        <f>C8+C10</f>
        <v>320</v>
      </c>
      <c r="D7" s="695">
        <f>D8+D10</f>
        <v>0</v>
      </c>
      <c r="E7" s="695">
        <f>E8+E10</f>
        <v>0</v>
      </c>
      <c r="F7" s="695">
        <f>F8+F10</f>
        <v>0</v>
      </c>
      <c r="G7" s="702">
        <f t="shared" si="0"/>
        <v>0</v>
      </c>
      <c r="H7" s="701">
        <f>G7/C7</f>
        <v>0</v>
      </c>
    </row>
    <row r="8" spans="1:8" ht="15" customHeight="1">
      <c r="A8" s="715"/>
      <c r="B8" s="1429" t="s">
        <v>538</v>
      </c>
      <c r="C8" s="1430">
        <f>SUM(C9:C9)</f>
        <v>320</v>
      </c>
      <c r="D8" s="1430">
        <f>SUM(D9:D9)</f>
        <v>0</v>
      </c>
      <c r="E8" s="1430">
        <f>SUM(E9:E9)</f>
        <v>0</v>
      </c>
      <c r="F8" s="1430">
        <f>SUM(F9:F9)</f>
        <v>0</v>
      </c>
      <c r="G8" s="1431">
        <f t="shared" si="0"/>
        <v>0</v>
      </c>
      <c r="H8" s="1432">
        <f>G8/C8</f>
        <v>0</v>
      </c>
    </row>
    <row r="9" spans="1:8" ht="15" customHeight="1">
      <c r="A9" s="715"/>
      <c r="B9" s="716" t="s">
        <v>557</v>
      </c>
      <c r="C9" s="696">
        <v>320</v>
      </c>
      <c r="D9" s="696"/>
      <c r="E9" s="696"/>
      <c r="F9" s="696"/>
      <c r="G9" s="703">
        <f t="shared" si="0"/>
        <v>0</v>
      </c>
      <c r="H9" s="698">
        <f>G9/C9</f>
        <v>0</v>
      </c>
    </row>
    <row r="10" spans="1:8" ht="15.75">
      <c r="A10" s="715"/>
      <c r="B10" s="1429" t="s">
        <v>540</v>
      </c>
      <c r="C10" s="696"/>
      <c r="D10" s="696"/>
      <c r="E10" s="696"/>
      <c r="F10" s="696"/>
      <c r="G10" s="717">
        <f t="shared" si="0"/>
        <v>0</v>
      </c>
      <c r="H10" s="699"/>
    </row>
    <row r="11" spans="1:8" ht="15.75">
      <c r="A11" s="714" t="s">
        <v>541</v>
      </c>
      <c r="B11" s="691" t="s">
        <v>542</v>
      </c>
      <c r="C11" s="700"/>
      <c r="D11" s="700"/>
      <c r="E11" s="700"/>
      <c r="F11" s="700"/>
      <c r="G11" s="700">
        <f t="shared" si="0"/>
        <v>0</v>
      </c>
      <c r="H11" s="1434"/>
    </row>
    <row r="12" spans="1:8" ht="15.75">
      <c r="A12" s="714" t="s">
        <v>543</v>
      </c>
      <c r="B12" s="691" t="s">
        <v>546</v>
      </c>
      <c r="C12" s="700"/>
      <c r="D12" s="700"/>
      <c r="E12" s="700"/>
      <c r="F12" s="700"/>
      <c r="G12" s="700">
        <f t="shared" si="0"/>
        <v>0</v>
      </c>
      <c r="H12" s="1434"/>
    </row>
    <row r="13" spans="1:8" ht="16.5" thickBot="1">
      <c r="A13" s="718" t="s">
        <v>544</v>
      </c>
      <c r="B13" s="692" t="s">
        <v>545</v>
      </c>
      <c r="C13" s="704">
        <f>(C3+C4+C5+C7)*27%</f>
        <v>113</v>
      </c>
      <c r="D13" s="704">
        <f>((D3+D4+D5+D7)*27%)</f>
        <v>0</v>
      </c>
      <c r="E13" s="704">
        <f>(E3+E4+E5+E7)*27%</f>
        <v>0</v>
      </c>
      <c r="F13" s="704">
        <f>(F3+F4+F5+F7)*27%</f>
        <v>0</v>
      </c>
      <c r="G13" s="704">
        <f t="shared" si="0"/>
        <v>0</v>
      </c>
      <c r="H13" s="705">
        <f>G13/C13</f>
        <v>0</v>
      </c>
    </row>
    <row r="14" spans="1:8" s="1343" customFormat="1" ht="35.25" customHeight="1" thickBot="1">
      <c r="A14" s="719"/>
      <c r="B14" s="693" t="s">
        <v>547</v>
      </c>
      <c r="C14" s="693">
        <f>C3+C4+C5+C7+C11+C12+C13</f>
        <v>533</v>
      </c>
      <c r="D14" s="693">
        <f>D3+D4+D5+D7+D11+D12+D13</f>
        <v>0</v>
      </c>
      <c r="E14" s="693">
        <f>E3+E4+E5+E7+E11+E12+E13</f>
        <v>0</v>
      </c>
      <c r="F14" s="693">
        <f>F3+F4+F5+F7+F11+F12+F13</f>
        <v>0</v>
      </c>
      <c r="G14" s="693">
        <f t="shared" si="0"/>
        <v>0</v>
      </c>
      <c r="H14" s="706">
        <f>G14/C14</f>
        <v>0</v>
      </c>
    </row>
  </sheetData>
  <sheetProtection/>
  <mergeCells count="5">
    <mergeCell ref="A1:A2"/>
    <mergeCell ref="H1:H2"/>
    <mergeCell ref="C1:C2"/>
    <mergeCell ref="B1:B2"/>
    <mergeCell ref="D1:G1"/>
  </mergeCells>
  <printOptions horizontalCentered="1"/>
  <pageMargins left="0.5905511811023623" right="0.5905511811023623" top="0.984251968503937" bottom="1.1811023622047245" header="0.3937007874015748" footer="0.3937007874015748"/>
  <pageSetup fitToHeight="1" fitToWidth="1" horizontalDpi="600" verticalDpi="600" orientation="landscape" paperSize="9" scale="75" r:id="rId1"/>
  <headerFooter alignWithMargins="0">
    <oddHeader>&amp;C&amp;"Times New Roman,Normál"PESTERZSÉBETI KEREKERDŐ ÓVODA  
2017. ÉVI BERUHÁZÁSI KIADÁSAI
&amp;R&amp;"Times New Roman,Normál"4.20. sz. melléklet&amp;"MS Sans Serif,Normál"
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Munka80">
    <pageSetUpPr fitToPage="1"/>
  </sheetPr>
  <dimension ref="A1:I49"/>
  <sheetViews>
    <sheetView zoomScalePageLayoutView="0" workbookViewId="0" topLeftCell="A1">
      <pane xSplit="2" ySplit="2" topLeftCell="C24" activePane="bottomRight" state="frozen"/>
      <selection pane="topLeft" activeCell="H18" sqref="H18:H20"/>
      <selection pane="topRight" activeCell="H18" sqref="H18:H20"/>
      <selection pane="bottomLeft" activeCell="H18" sqref="H18:H20"/>
      <selection pane="bottomRight" activeCell="D33" sqref="D33"/>
    </sheetView>
  </sheetViews>
  <sheetFormatPr defaultColWidth="9.140625" defaultRowHeight="12.75"/>
  <cols>
    <col min="1" max="1" width="9.140625" style="1147" customWidth="1"/>
    <col min="2" max="2" width="52.28125" style="1147" customWidth="1"/>
    <col min="3" max="3" width="14.28125" style="1146" customWidth="1"/>
    <col min="4" max="4" width="15.421875" style="1146" bestFit="1" customWidth="1"/>
    <col min="5" max="5" width="14.28125" style="1146" customWidth="1"/>
    <col min="6" max="6" width="17.421875" style="1146" customWidth="1"/>
    <col min="7" max="7" width="15.421875" style="1146" bestFit="1" customWidth="1"/>
    <col min="8" max="8" width="14.28125" style="1147" customWidth="1"/>
    <col min="9" max="9" width="14.140625" style="1146" customWidth="1"/>
    <col min="10" max="10" width="12.421875" style="1147" customWidth="1"/>
    <col min="11" max="11" width="10.00390625" style="1147" customWidth="1"/>
    <col min="12" max="16384" width="9.140625" style="1147" customWidth="1"/>
  </cols>
  <sheetData>
    <row r="1" spans="1:8" ht="13.5" customHeight="1">
      <c r="A1" s="1844" t="s">
        <v>523</v>
      </c>
      <c r="B1" s="1906" t="s">
        <v>1204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8" ht="48" thickBot="1">
      <c r="A2" s="1845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9" s="1386" customFormat="1" ht="31.5">
      <c r="A3" s="1381" t="s">
        <v>185</v>
      </c>
      <c r="B3" s="1410" t="s">
        <v>186</v>
      </c>
      <c r="C3" s="1383"/>
      <c r="D3" s="1383"/>
      <c r="E3" s="1383"/>
      <c r="F3" s="1383"/>
      <c r="G3" s="1383">
        <f>SUM(D3:F3)</f>
        <v>0</v>
      </c>
      <c r="H3" s="1384"/>
      <c r="I3" s="1385"/>
    </row>
    <row r="4" spans="1:9" s="1386" customFormat="1" ht="31.5">
      <c r="A4" s="1387" t="s">
        <v>187</v>
      </c>
      <c r="B4" s="1410" t="s">
        <v>145</v>
      </c>
      <c r="C4" s="1392"/>
      <c r="D4" s="1392"/>
      <c r="E4" s="1392"/>
      <c r="F4" s="1392"/>
      <c r="G4" s="1482">
        <f>SUM(D4:F4)</f>
        <v>0</v>
      </c>
      <c r="H4" s="1393"/>
      <c r="I4" s="1385"/>
    </row>
    <row r="5" spans="1:9" s="1386" customFormat="1" ht="24" customHeight="1">
      <c r="A5" s="1387" t="s">
        <v>193</v>
      </c>
      <c r="B5" s="1391" t="s">
        <v>148</v>
      </c>
      <c r="C5" s="1392"/>
      <c r="D5" s="1392"/>
      <c r="E5" s="1392"/>
      <c r="F5" s="1392"/>
      <c r="G5" s="1392">
        <f>SUM(D5:F5)</f>
        <v>0</v>
      </c>
      <c r="H5" s="1393"/>
      <c r="I5" s="1385"/>
    </row>
    <row r="6" spans="1:9" s="1386" customFormat="1" ht="19.5" customHeight="1">
      <c r="A6" s="1387" t="s">
        <v>469</v>
      </c>
      <c r="B6" s="1391" t="s">
        <v>664</v>
      </c>
      <c r="C6" s="1392">
        <v>151653</v>
      </c>
      <c r="D6" s="1392">
        <v>122839081</v>
      </c>
      <c r="E6" s="1392">
        <v>8254893</v>
      </c>
      <c r="F6" s="1392"/>
      <c r="G6" s="1392">
        <f>SUM(D6:F6)</f>
        <v>131093974</v>
      </c>
      <c r="H6" s="1393">
        <f>G6/(C6*1000)</f>
        <v>0.86</v>
      </c>
      <c r="I6" s="1385"/>
    </row>
    <row r="7" spans="1:9" s="1386" customFormat="1" ht="19.5" customHeight="1">
      <c r="A7" s="1387" t="s">
        <v>486</v>
      </c>
      <c r="B7" s="1391" t="s">
        <v>663</v>
      </c>
      <c r="C7" s="1392"/>
      <c r="D7" s="1392"/>
      <c r="E7" s="1392"/>
      <c r="F7" s="1392"/>
      <c r="G7" s="1392"/>
      <c r="H7" s="1393"/>
      <c r="I7" s="1385"/>
    </row>
    <row r="8" spans="1:9" s="1386" customFormat="1" ht="19.5" customHeight="1">
      <c r="A8" s="1387" t="s">
        <v>471</v>
      </c>
      <c r="B8" s="1391" t="s">
        <v>475</v>
      </c>
      <c r="C8" s="1392"/>
      <c r="D8" s="1392"/>
      <c r="E8" s="1392"/>
      <c r="F8" s="1392"/>
      <c r="G8" s="1392"/>
      <c r="H8" s="1393"/>
      <c r="I8" s="1385"/>
    </row>
    <row r="9" spans="1:9" s="1386" customFormat="1" ht="19.5" customHeight="1" thickBot="1">
      <c r="A9" s="1394" t="s">
        <v>473</v>
      </c>
      <c r="B9" s="1395" t="s">
        <v>474</v>
      </c>
      <c r="C9" s="1396"/>
      <c r="D9" s="1396"/>
      <c r="E9" s="1396"/>
      <c r="F9" s="1396"/>
      <c r="G9" s="1396"/>
      <c r="H9" s="1397"/>
      <c r="I9" s="1385"/>
    </row>
    <row r="10" spans="1:9" s="1451" customFormat="1" ht="15" customHeight="1" thickBot="1">
      <c r="A10" s="782" t="s">
        <v>476</v>
      </c>
      <c r="B10" s="783" t="s">
        <v>286</v>
      </c>
      <c r="C10" s="784">
        <f>C3+C4+C5+C6+C7+C8+C9</f>
        <v>151653</v>
      </c>
      <c r="D10" s="784">
        <f>D3+D4+D5+D6+D7+D8+D9</f>
        <v>122839081</v>
      </c>
      <c r="E10" s="784">
        <f>E3+E4+E5+E6+E7+E8+E9</f>
        <v>8254893</v>
      </c>
      <c r="F10" s="784">
        <f>F3+F4+F5+F6+F7+F8+F9</f>
        <v>0</v>
      </c>
      <c r="G10" s="1139">
        <f>SUM(D10:F10)</f>
        <v>131093974</v>
      </c>
      <c r="H10" s="786">
        <f>G10/(C10*1000)</f>
        <v>0.86</v>
      </c>
      <c r="I10" s="1450"/>
    </row>
    <row r="11" spans="1:9" s="1451" customFormat="1" ht="15" customHeight="1">
      <c r="A11" s="1381" t="s">
        <v>477</v>
      </c>
      <c r="B11" s="1382" t="s">
        <v>478</v>
      </c>
      <c r="C11" s="1383">
        <f>+C12</f>
        <v>806478</v>
      </c>
      <c r="D11" s="1383">
        <f>+D12</f>
        <v>527947626</v>
      </c>
      <c r="E11" s="1383">
        <f>+E12</f>
        <v>6300805</v>
      </c>
      <c r="F11" s="1383">
        <f>+F12</f>
        <v>0</v>
      </c>
      <c r="G11" s="1383">
        <f>+G12</f>
        <v>534248431</v>
      </c>
      <c r="H11" s="1384">
        <f>G11/(C11*1000)</f>
        <v>0.66</v>
      </c>
      <c r="I11" s="1450"/>
    </row>
    <row r="12" spans="1:9" s="1451" customFormat="1" ht="15" customHeight="1">
      <c r="A12" s="1400" t="s">
        <v>483</v>
      </c>
      <c r="B12" s="1401" t="s">
        <v>484</v>
      </c>
      <c r="C12" s="1402">
        <f>+C13+C16</f>
        <v>806478</v>
      </c>
      <c r="D12" s="1402">
        <f>+D13+D16</f>
        <v>527947626</v>
      </c>
      <c r="E12" s="1402">
        <f>+E13+E16</f>
        <v>6300805</v>
      </c>
      <c r="F12" s="1402">
        <f>+F13+F16</f>
        <v>0</v>
      </c>
      <c r="G12" s="1402">
        <f aca="true" t="shared" si="0" ref="G12:G19">SUM(D12:F12)</f>
        <v>534248431</v>
      </c>
      <c r="H12" s="1403">
        <f>G12/(C12*1000)</f>
        <v>0.66</v>
      </c>
      <c r="I12" s="1450"/>
    </row>
    <row r="13" spans="1:9" s="1451" customFormat="1" ht="15" customHeight="1">
      <c r="A13" s="1160" t="s">
        <v>479</v>
      </c>
      <c r="B13" s="1166" t="s">
        <v>480</v>
      </c>
      <c r="C13" s="1167">
        <f>SUM(C14:C15)</f>
        <v>13522</v>
      </c>
      <c r="D13" s="1167">
        <f>SUM(D14:D15)</f>
        <v>5385787</v>
      </c>
      <c r="E13" s="1167">
        <f>SUM(E14:E15)</f>
        <v>0</v>
      </c>
      <c r="F13" s="1167">
        <f>SUM(F14:F15)</f>
        <v>0</v>
      </c>
      <c r="G13" s="1162">
        <f>SUM(D13:F13)</f>
        <v>5385787</v>
      </c>
      <c r="H13" s="1168">
        <f>G13/(C13*1000)</f>
        <v>0.4</v>
      </c>
      <c r="I13" s="1450"/>
    </row>
    <row r="14" spans="1:9" s="1451" customFormat="1" ht="15" customHeight="1">
      <c r="A14" s="809"/>
      <c r="B14" s="1148" t="s">
        <v>241</v>
      </c>
      <c r="C14" s="811">
        <v>13522</v>
      </c>
      <c r="D14" s="811">
        <v>5385787</v>
      </c>
      <c r="E14" s="811"/>
      <c r="F14" s="811"/>
      <c r="G14" s="811">
        <f t="shared" si="0"/>
        <v>5385787</v>
      </c>
      <c r="H14" s="1169">
        <f>G14/(C14*1000)</f>
        <v>0.4</v>
      </c>
      <c r="I14" s="1450"/>
    </row>
    <row r="15" spans="1:9" s="1451" customFormat="1" ht="15" customHeight="1">
      <c r="A15" s="809"/>
      <c r="B15" s="1148" t="s">
        <v>242</v>
      </c>
      <c r="C15" s="811"/>
      <c r="D15" s="811"/>
      <c r="E15" s="811"/>
      <c r="F15" s="811"/>
      <c r="G15" s="811">
        <f t="shared" si="0"/>
        <v>0</v>
      </c>
      <c r="H15" s="1169"/>
      <c r="I15" s="1450"/>
    </row>
    <row r="16" spans="1:9" s="1451" customFormat="1" ht="15" customHeight="1">
      <c r="A16" s="1160" t="s">
        <v>665</v>
      </c>
      <c r="B16" s="1161" t="s">
        <v>666</v>
      </c>
      <c r="C16" s="1162">
        <f>SUM(C17:C18)</f>
        <v>792956</v>
      </c>
      <c r="D16" s="1162">
        <f>SUM(D17:D18)</f>
        <v>522561839</v>
      </c>
      <c r="E16" s="1162">
        <f>SUM(E17:E18)</f>
        <v>6300805</v>
      </c>
      <c r="F16" s="1162">
        <f>SUM(F17:F18)</f>
        <v>0</v>
      </c>
      <c r="G16" s="793">
        <f>SUM(D16:F16)</f>
        <v>528862644</v>
      </c>
      <c r="H16" s="1163">
        <f>G16/(C16*1000)</f>
        <v>0.67</v>
      </c>
      <c r="I16" s="1450"/>
    </row>
    <row r="17" spans="1:9" s="1453" customFormat="1" ht="15" customHeight="1">
      <c r="A17" s="1171"/>
      <c r="B17" s="1172" t="s">
        <v>667</v>
      </c>
      <c r="C17" s="717">
        <v>786390</v>
      </c>
      <c r="D17" s="717">
        <v>522561839</v>
      </c>
      <c r="E17" s="717">
        <v>6300805</v>
      </c>
      <c r="F17" s="717"/>
      <c r="G17" s="797">
        <f t="shared" si="0"/>
        <v>528862644</v>
      </c>
      <c r="H17" s="1173">
        <f>G17/(C17*1000)</f>
        <v>0.67</v>
      </c>
      <c r="I17" s="1452"/>
    </row>
    <row r="18" spans="1:9" s="1405" customFormat="1" ht="15" customHeight="1" thickBot="1">
      <c r="A18" s="1171"/>
      <c r="B18" s="1172" t="s">
        <v>668</v>
      </c>
      <c r="C18" s="717">
        <v>6566</v>
      </c>
      <c r="D18" s="717"/>
      <c r="E18" s="717"/>
      <c r="F18" s="717"/>
      <c r="G18" s="797">
        <f t="shared" si="0"/>
        <v>0</v>
      </c>
      <c r="H18" s="1173">
        <f>G18/(C18*1000)</f>
        <v>0</v>
      </c>
      <c r="I18" s="1404"/>
    </row>
    <row r="19" spans="1:9" s="1386" customFormat="1" ht="24.75" customHeight="1" thickBot="1">
      <c r="A19" s="1141"/>
      <c r="B19" s="1142" t="s">
        <v>78</v>
      </c>
      <c r="C19" s="1408">
        <f>C10+C11</f>
        <v>958131</v>
      </c>
      <c r="D19" s="1408">
        <f>D10+D11</f>
        <v>650786707</v>
      </c>
      <c r="E19" s="1408">
        <f>E10+E11</f>
        <v>14555698</v>
      </c>
      <c r="F19" s="1409">
        <f>F10+F11</f>
        <v>0</v>
      </c>
      <c r="G19" s="1408">
        <f t="shared" si="0"/>
        <v>665342405</v>
      </c>
      <c r="H19" s="1144">
        <f>G19/(C19*1000)</f>
        <v>0.69</v>
      </c>
      <c r="I19" s="1385"/>
    </row>
    <row r="20" spans="1:7" ht="16.5" thickBot="1">
      <c r="A20" s="1435"/>
      <c r="C20" s="1147"/>
      <c r="D20" s="1147"/>
      <c r="E20" s="1147"/>
      <c r="F20" s="1147"/>
      <c r="G20" s="1147"/>
    </row>
    <row r="21" spans="1:8" ht="13.5" customHeight="1">
      <c r="A21" s="805"/>
      <c r="B21" s="806" t="s">
        <v>549</v>
      </c>
      <c r="C21" s="807">
        <f>C3+C5+C6+C8</f>
        <v>151653</v>
      </c>
      <c r="D21" s="807">
        <f>D3+D5+D6+D8</f>
        <v>122839081</v>
      </c>
      <c r="E21" s="807">
        <f>E3+E5+E6+E8</f>
        <v>8254893</v>
      </c>
      <c r="F21" s="807">
        <f>F3+F5+F6+F8</f>
        <v>0</v>
      </c>
      <c r="G21" s="807">
        <f aca="true" t="shared" si="1" ref="G21:G27">SUM(D21:F21)</f>
        <v>131093974</v>
      </c>
      <c r="H21" s="808">
        <f>G21/(C21*1000)</f>
        <v>0.86</v>
      </c>
    </row>
    <row r="22" spans="1:8" ht="15.75">
      <c r="A22" s="809"/>
      <c r="B22" s="810" t="s">
        <v>550</v>
      </c>
      <c r="C22" s="811">
        <f>C4+C7+C9</f>
        <v>0</v>
      </c>
      <c r="D22" s="811">
        <f>D4+D7+D9</f>
        <v>0</v>
      </c>
      <c r="E22" s="811">
        <f>E4+E7+E9</f>
        <v>0</v>
      </c>
      <c r="F22" s="811">
        <f>F4+F7+F9</f>
        <v>0</v>
      </c>
      <c r="G22" s="811">
        <f t="shared" si="1"/>
        <v>0</v>
      </c>
      <c r="H22" s="812"/>
    </row>
    <row r="23" spans="1:8" ht="15.75">
      <c r="A23" s="809"/>
      <c r="B23" s="810" t="s">
        <v>551</v>
      </c>
      <c r="C23" s="811">
        <f aca="true" t="shared" si="2" ref="C23:F24">+C14+C17</f>
        <v>799912</v>
      </c>
      <c r="D23" s="811">
        <f t="shared" si="2"/>
        <v>527947626</v>
      </c>
      <c r="E23" s="811">
        <f t="shared" si="2"/>
        <v>6300805</v>
      </c>
      <c r="F23" s="811">
        <f t="shared" si="2"/>
        <v>0</v>
      </c>
      <c r="G23" s="811">
        <f t="shared" si="1"/>
        <v>534248431</v>
      </c>
      <c r="H23" s="812">
        <f>G23/(C23*1000)</f>
        <v>0.67</v>
      </c>
    </row>
    <row r="24" spans="1:8" ht="16.5" thickBot="1">
      <c r="A24" s="813"/>
      <c r="B24" s="814" t="s">
        <v>552</v>
      </c>
      <c r="C24" s="815">
        <f t="shared" si="2"/>
        <v>6566</v>
      </c>
      <c r="D24" s="815">
        <f t="shared" si="2"/>
        <v>0</v>
      </c>
      <c r="E24" s="815">
        <f t="shared" si="2"/>
        <v>0</v>
      </c>
      <c r="F24" s="815">
        <f t="shared" si="2"/>
        <v>0</v>
      </c>
      <c r="G24" s="1175">
        <f t="shared" si="1"/>
        <v>0</v>
      </c>
      <c r="H24" s="816">
        <f>G24/(C24*1000)</f>
        <v>0</v>
      </c>
    </row>
    <row r="25" spans="1:8" ht="15.75">
      <c r="A25" s="817"/>
      <c r="B25" s="818" t="s">
        <v>553</v>
      </c>
      <c r="C25" s="819">
        <f aca="true" t="shared" si="3" ref="C25:F26">C21+C23</f>
        <v>951565</v>
      </c>
      <c r="D25" s="819">
        <f t="shared" si="3"/>
        <v>650786707</v>
      </c>
      <c r="E25" s="819">
        <f t="shared" si="3"/>
        <v>14555698</v>
      </c>
      <c r="F25" s="818">
        <f t="shared" si="3"/>
        <v>0</v>
      </c>
      <c r="G25" s="819">
        <f t="shared" si="1"/>
        <v>665342405</v>
      </c>
      <c r="H25" s="820">
        <f>G25/(C25*1000)</f>
        <v>0.7</v>
      </c>
    </row>
    <row r="26" spans="1:8" ht="16.5" thickBot="1">
      <c r="A26" s="821"/>
      <c r="B26" s="822" t="s">
        <v>554</v>
      </c>
      <c r="C26" s="823">
        <f t="shared" si="3"/>
        <v>6566</v>
      </c>
      <c r="D26" s="823">
        <f t="shared" si="3"/>
        <v>0</v>
      </c>
      <c r="E26" s="823">
        <f t="shared" si="3"/>
        <v>0</v>
      </c>
      <c r="F26" s="822">
        <f t="shared" si="3"/>
        <v>0</v>
      </c>
      <c r="G26" s="823">
        <f t="shared" si="1"/>
        <v>0</v>
      </c>
      <c r="H26" s="824">
        <f>G26/(C26*1000)</f>
        <v>0</v>
      </c>
    </row>
    <row r="27" spans="1:8" ht="16.5" thickBot="1">
      <c r="A27" s="825"/>
      <c r="B27" s="826" t="s">
        <v>555</v>
      </c>
      <c r="C27" s="827">
        <f>C25+C26</f>
        <v>958131</v>
      </c>
      <c r="D27" s="827">
        <f>D25+D26</f>
        <v>650786707</v>
      </c>
      <c r="E27" s="827">
        <f>E25+E26</f>
        <v>14555698</v>
      </c>
      <c r="F27" s="826">
        <f>F25+F26</f>
        <v>0</v>
      </c>
      <c r="G27" s="827">
        <f t="shared" si="1"/>
        <v>665342405</v>
      </c>
      <c r="H27" s="828">
        <f>G27/(C27*1000)</f>
        <v>0.69</v>
      </c>
    </row>
    <row r="28" ht="16.5" thickBot="1">
      <c r="A28" s="1435"/>
    </row>
    <row r="29" spans="1:8" ht="13.5" customHeight="1">
      <c r="A29" s="1904" t="s">
        <v>523</v>
      </c>
      <c r="B29" s="1906" t="s">
        <v>1205</v>
      </c>
      <c r="C29" s="1854" t="s">
        <v>1065</v>
      </c>
      <c r="D29" s="1851" t="s">
        <v>1050</v>
      </c>
      <c r="E29" s="1852"/>
      <c r="F29" s="1852"/>
      <c r="G29" s="1853"/>
      <c r="H29" s="1848" t="s">
        <v>1051</v>
      </c>
    </row>
    <row r="30" spans="1:8" ht="48" thickBot="1">
      <c r="A30" s="1905"/>
      <c r="B30" s="1907"/>
      <c r="C30" s="1855"/>
      <c r="D30" s="1136" t="s">
        <v>287</v>
      </c>
      <c r="E30" s="1136" t="s">
        <v>795</v>
      </c>
      <c r="F30" s="1136" t="s">
        <v>796</v>
      </c>
      <c r="G30" s="1136" t="s">
        <v>65</v>
      </c>
      <c r="H30" s="1849"/>
    </row>
    <row r="31" spans="1:9" s="1386" customFormat="1" ht="24.75" customHeight="1">
      <c r="A31" s="1381" t="s">
        <v>104</v>
      </c>
      <c r="B31" s="1382" t="s">
        <v>105</v>
      </c>
      <c r="C31" s="1383">
        <v>275043</v>
      </c>
      <c r="D31" s="1383">
        <v>211160460</v>
      </c>
      <c r="E31" s="1383">
        <v>4012750</v>
      </c>
      <c r="F31" s="1383"/>
      <c r="G31" s="1383">
        <f aca="true" t="shared" si="4" ref="G31:G41">SUM(D31:F31)</f>
        <v>215173210</v>
      </c>
      <c r="H31" s="1384">
        <f aca="true" t="shared" si="5" ref="H31:H36">G31/(C31*1000)</f>
        <v>0.78</v>
      </c>
      <c r="I31" s="1385"/>
    </row>
    <row r="32" spans="1:9" s="1386" customFormat="1" ht="31.5">
      <c r="A32" s="1387" t="s">
        <v>106</v>
      </c>
      <c r="B32" s="1410" t="s">
        <v>107</v>
      </c>
      <c r="C32" s="1392">
        <v>76857</v>
      </c>
      <c r="D32" s="1392">
        <v>49894874</v>
      </c>
      <c r="E32" s="1392">
        <v>2288055</v>
      </c>
      <c r="F32" s="1392"/>
      <c r="G32" s="1392">
        <f t="shared" si="4"/>
        <v>52182929</v>
      </c>
      <c r="H32" s="1393">
        <f t="shared" si="5"/>
        <v>0.68</v>
      </c>
      <c r="I32" s="1385"/>
    </row>
    <row r="33" spans="1:9" s="1386" customFormat="1" ht="24.75" customHeight="1">
      <c r="A33" s="1387" t="s">
        <v>108</v>
      </c>
      <c r="B33" s="1391" t="s">
        <v>109</v>
      </c>
      <c r="C33" s="1392">
        <v>599665</v>
      </c>
      <c r="D33" s="1392">
        <v>389731373</v>
      </c>
      <c r="E33" s="1392">
        <v>8254893</v>
      </c>
      <c r="F33" s="1392"/>
      <c r="G33" s="1392">
        <f t="shared" si="4"/>
        <v>397986266</v>
      </c>
      <c r="H33" s="1393">
        <f t="shared" si="5"/>
        <v>0.66</v>
      </c>
      <c r="I33" s="1385"/>
    </row>
    <row r="34" spans="1:9" s="1386" customFormat="1" ht="24.75" customHeight="1">
      <c r="A34" s="1387" t="s">
        <v>110</v>
      </c>
      <c r="B34" s="1391" t="s">
        <v>111</v>
      </c>
      <c r="C34" s="1392"/>
      <c r="D34" s="1392"/>
      <c r="E34" s="1392"/>
      <c r="F34" s="1392"/>
      <c r="G34" s="1392">
        <f t="shared" si="4"/>
        <v>0</v>
      </c>
      <c r="H34" s="1393"/>
      <c r="I34" s="1385"/>
    </row>
    <row r="35" spans="1:9" s="1386" customFormat="1" ht="24.75" customHeight="1">
      <c r="A35" s="1387" t="s">
        <v>112</v>
      </c>
      <c r="B35" s="1391" t="s">
        <v>113</v>
      </c>
      <c r="C35" s="1392"/>
      <c r="D35" s="1392"/>
      <c r="E35" s="1392"/>
      <c r="F35" s="1392"/>
      <c r="G35" s="1392">
        <f t="shared" si="4"/>
        <v>0</v>
      </c>
      <c r="H35" s="1393"/>
      <c r="I35" s="1385"/>
    </row>
    <row r="36" spans="1:9" s="1386" customFormat="1" ht="24.75" customHeight="1">
      <c r="A36" s="1387" t="s">
        <v>548</v>
      </c>
      <c r="B36" s="1391" t="s">
        <v>121</v>
      </c>
      <c r="C36" s="1392">
        <v>6566</v>
      </c>
      <c r="D36" s="1392"/>
      <c r="E36" s="1392"/>
      <c r="F36" s="1392"/>
      <c r="G36" s="1392">
        <f t="shared" si="4"/>
        <v>0</v>
      </c>
      <c r="H36" s="1393">
        <f t="shared" si="5"/>
        <v>0</v>
      </c>
      <c r="I36" s="1385"/>
    </row>
    <row r="37" spans="1:9" s="1386" customFormat="1" ht="24.75" customHeight="1">
      <c r="A37" s="1387" t="s">
        <v>122</v>
      </c>
      <c r="B37" s="1391" t="s">
        <v>123</v>
      </c>
      <c r="C37" s="1392"/>
      <c r="D37" s="1392"/>
      <c r="E37" s="1392"/>
      <c r="F37" s="1392"/>
      <c r="G37" s="1392">
        <f t="shared" si="4"/>
        <v>0</v>
      </c>
      <c r="H37" s="1393"/>
      <c r="I37" s="1385"/>
    </row>
    <row r="38" spans="1:9" s="1386" customFormat="1" ht="24.75" customHeight="1" thickBot="1">
      <c r="A38" s="1394" t="s">
        <v>124</v>
      </c>
      <c r="B38" s="1395" t="s">
        <v>125</v>
      </c>
      <c r="C38" s="1396"/>
      <c r="D38" s="1396"/>
      <c r="E38" s="1396"/>
      <c r="F38" s="1396"/>
      <c r="G38" s="1396">
        <f t="shared" si="4"/>
        <v>0</v>
      </c>
      <c r="H38" s="1411"/>
      <c r="I38" s="1385"/>
    </row>
    <row r="39" spans="1:8" ht="16.5" thickBot="1">
      <c r="A39" s="782" t="s">
        <v>138</v>
      </c>
      <c r="B39" s="783" t="s">
        <v>139</v>
      </c>
      <c r="C39" s="784">
        <f>C31+C32+C33+C34+C35+C36+C37+C38</f>
        <v>958131</v>
      </c>
      <c r="D39" s="784">
        <f>D31+D32+D33+D34+D35+D36+D37+D38</f>
        <v>650786707</v>
      </c>
      <c r="E39" s="784">
        <f>E31+E32+E33+E34+E35+E36+E37+E38</f>
        <v>14555698</v>
      </c>
      <c r="F39" s="784">
        <f>F31+F32+F33+F34+F35+F36+F37+F38</f>
        <v>0</v>
      </c>
      <c r="G39" s="1139">
        <f t="shared" si="4"/>
        <v>665342405</v>
      </c>
      <c r="H39" s="786">
        <f>G39/(C39*1000)</f>
        <v>0.69</v>
      </c>
    </row>
    <row r="40" spans="1:9" s="1386" customFormat="1" ht="24.75" customHeight="1" thickBot="1">
      <c r="A40" s="1437" t="s">
        <v>129</v>
      </c>
      <c r="B40" s="1438" t="s">
        <v>130</v>
      </c>
      <c r="C40" s="1439"/>
      <c r="D40" s="1439"/>
      <c r="E40" s="1439"/>
      <c r="F40" s="1439"/>
      <c r="G40" s="1439">
        <f t="shared" si="4"/>
        <v>0</v>
      </c>
      <c r="H40" s="1440"/>
      <c r="I40" s="1385"/>
    </row>
    <row r="41" spans="1:8" s="1449" customFormat="1" ht="24.75" customHeight="1" thickBot="1">
      <c r="A41" s="1141"/>
      <c r="B41" s="1142" t="s">
        <v>77</v>
      </c>
      <c r="C41" s="1408">
        <f>C40+C39</f>
        <v>958131</v>
      </c>
      <c r="D41" s="1408">
        <f>D40+D39</f>
        <v>650786707</v>
      </c>
      <c r="E41" s="1408">
        <f>E40+E39</f>
        <v>14555698</v>
      </c>
      <c r="F41" s="1409">
        <f>F40+F39</f>
        <v>0</v>
      </c>
      <c r="G41" s="1408">
        <f t="shared" si="4"/>
        <v>665342405</v>
      </c>
      <c r="H41" s="1144">
        <f>G41/(C41*1000)</f>
        <v>0.69</v>
      </c>
    </row>
    <row r="42" spans="1:8" ht="16.5" thickBot="1">
      <c r="A42" s="1483"/>
      <c r="B42" s="801"/>
      <c r="C42" s="802"/>
      <c r="D42" s="802"/>
      <c r="E42" s="802"/>
      <c r="F42" s="803"/>
      <c r="G42" s="803"/>
      <c r="H42" s="804"/>
    </row>
    <row r="43" spans="1:8" ht="15.75">
      <c r="A43" s="805"/>
      <c r="B43" s="806" t="s">
        <v>158</v>
      </c>
      <c r="C43" s="807">
        <f>C31+C32+C33+C34+C35</f>
        <v>951565</v>
      </c>
      <c r="D43" s="807">
        <f>D31+D32+D33+D34+D35</f>
        <v>650786707</v>
      </c>
      <c r="E43" s="807">
        <f>E31+E32+E33+E34+E35</f>
        <v>14555698</v>
      </c>
      <c r="F43" s="807">
        <f>F31+F32+F33+F34+F35</f>
        <v>0</v>
      </c>
      <c r="G43" s="807">
        <f>SUM(D43:F43)</f>
        <v>665342405</v>
      </c>
      <c r="H43" s="808">
        <f>G43/(C43*1000)</f>
        <v>0.7</v>
      </c>
    </row>
    <row r="44" spans="1:8" ht="15.75">
      <c r="A44" s="809"/>
      <c r="B44" s="810" t="s">
        <v>159</v>
      </c>
      <c r="C44" s="811">
        <f>C36+C37+C38</f>
        <v>6566</v>
      </c>
      <c r="D44" s="811">
        <f>D36+D37+D38</f>
        <v>0</v>
      </c>
      <c r="E44" s="811">
        <f>E36+E37+E38</f>
        <v>0</v>
      </c>
      <c r="F44" s="811">
        <f>F36+F37+F38</f>
        <v>0</v>
      </c>
      <c r="G44" s="811">
        <f>SUM(D44:F44)</f>
        <v>0</v>
      </c>
      <c r="H44" s="812">
        <f>G44/(C44*1000)</f>
        <v>0</v>
      </c>
    </row>
    <row r="45" spans="1:8" ht="15.75">
      <c r="A45" s="809"/>
      <c r="B45" s="810" t="s">
        <v>160</v>
      </c>
      <c r="C45" s="811">
        <f>C40</f>
        <v>0</v>
      </c>
      <c r="D45" s="811">
        <f>D40</f>
        <v>0</v>
      </c>
      <c r="E45" s="811">
        <f>E40</f>
        <v>0</v>
      </c>
      <c r="F45" s="811">
        <f>F40</f>
        <v>0</v>
      </c>
      <c r="G45" s="811">
        <f>SUM(D45:F45)</f>
        <v>0</v>
      </c>
      <c r="H45" s="812"/>
    </row>
    <row r="46" spans="1:8" ht="16.5" thickBot="1">
      <c r="A46" s="813"/>
      <c r="B46" s="814" t="s">
        <v>161</v>
      </c>
      <c r="C46" s="815">
        <f>C40</f>
        <v>0</v>
      </c>
      <c r="D46" s="815">
        <f>D40</f>
        <v>0</v>
      </c>
      <c r="E46" s="815">
        <f>E40</f>
        <v>0</v>
      </c>
      <c r="F46" s="815">
        <f>F40</f>
        <v>0</v>
      </c>
      <c r="G46" s="815">
        <f>G40</f>
        <v>0</v>
      </c>
      <c r="H46" s="816"/>
    </row>
    <row r="47" spans="1:8" ht="15.75">
      <c r="A47" s="817"/>
      <c r="B47" s="818" t="s">
        <v>162</v>
      </c>
      <c r="C47" s="819">
        <f aca="true" t="shared" si="6" ref="C47:F48">C43+C45</f>
        <v>951565</v>
      </c>
      <c r="D47" s="819">
        <f t="shared" si="6"/>
        <v>650786707</v>
      </c>
      <c r="E47" s="819">
        <f t="shared" si="6"/>
        <v>14555698</v>
      </c>
      <c r="F47" s="818">
        <f t="shared" si="6"/>
        <v>0</v>
      </c>
      <c r="G47" s="819">
        <f>SUM(D47:F47)</f>
        <v>665342405</v>
      </c>
      <c r="H47" s="820">
        <f>G47/(C47*1000)</f>
        <v>0.7</v>
      </c>
    </row>
    <row r="48" spans="1:8" ht="16.5" thickBot="1">
      <c r="A48" s="821"/>
      <c r="B48" s="822" t="s">
        <v>163</v>
      </c>
      <c r="C48" s="823">
        <f t="shared" si="6"/>
        <v>6566</v>
      </c>
      <c r="D48" s="823">
        <f t="shared" si="6"/>
        <v>0</v>
      </c>
      <c r="E48" s="823">
        <f t="shared" si="6"/>
        <v>0</v>
      </c>
      <c r="F48" s="822">
        <f t="shared" si="6"/>
        <v>0</v>
      </c>
      <c r="G48" s="823">
        <f>SUM(D48:F48)</f>
        <v>0</v>
      </c>
      <c r="H48" s="824">
        <f>G48/(C48*1000)</f>
        <v>0</v>
      </c>
    </row>
    <row r="49" spans="1:8" ht="16.5" thickBot="1">
      <c r="A49" s="825"/>
      <c r="B49" s="826" t="s">
        <v>164</v>
      </c>
      <c r="C49" s="827">
        <f>C47+C48</f>
        <v>958131</v>
      </c>
      <c r="D49" s="827">
        <f>D47+D48</f>
        <v>650786707</v>
      </c>
      <c r="E49" s="827">
        <f>E47+E48</f>
        <v>14555698</v>
      </c>
      <c r="F49" s="826">
        <f>F47+F48</f>
        <v>0</v>
      </c>
      <c r="G49" s="827">
        <f>SUM(D49:F49)</f>
        <v>665342405</v>
      </c>
      <c r="H49" s="828">
        <f>G49/(C49*1000)</f>
        <v>0.69</v>
      </c>
    </row>
  </sheetData>
  <sheetProtection/>
  <mergeCells count="10">
    <mergeCell ref="H1:H2"/>
    <mergeCell ref="A29:A30"/>
    <mergeCell ref="B29:B30"/>
    <mergeCell ref="C29:C30"/>
    <mergeCell ref="D29:G29"/>
    <mergeCell ref="H29:H30"/>
    <mergeCell ref="A1:A2"/>
    <mergeCell ref="D1:G1"/>
    <mergeCell ref="C1:C2"/>
    <mergeCell ref="B1:B2"/>
  </mergeCells>
  <printOptions horizontalCentered="1"/>
  <pageMargins left="0.3937007874015748" right="0.3937007874015748" top="0.7874015748031497" bottom="0.7874015748031497" header="0.3937007874015748" footer="0.3937007874015748"/>
  <pageSetup fitToHeight="0" fitToWidth="1" orientation="landscape" paperSize="9" scale="93" r:id="rId1"/>
  <headerFooter alignWithMargins="0">
    <oddHeader>&amp;C&amp;"Times New Roman,Félkövér"GAMESZ 
 2017. ÉVI BEVÉTELEI ÉS KIADÁSAI 
&amp;R&amp;"Times New Roman,Félkövér"4.21. sz. melléklet&amp;"MS Sans Serif,Normál"
</oddHeader>
  </headerFooter>
  <rowBreaks count="1" manualBreakCount="1">
    <brk id="27" max="7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sheetPr codeName="Munka81">
    <pageSetUpPr fitToPage="1"/>
  </sheetPr>
  <dimension ref="A1:H13"/>
  <sheetViews>
    <sheetView zoomScale="80" zoomScaleNormal="80" zoomScalePageLayoutView="0" workbookViewId="0" topLeftCell="A1">
      <pane ySplit="1" topLeftCell="A2" activePane="bottomLeft" state="frozen"/>
      <selection pane="topLeft" activeCell="D16" sqref="D16"/>
      <selection pane="bottomLeft" activeCell="I33" sqref="I33"/>
    </sheetView>
  </sheetViews>
  <sheetFormatPr defaultColWidth="9.140625" defaultRowHeight="12.75"/>
  <cols>
    <col min="1" max="1" width="9.140625" style="694" customWidth="1"/>
    <col min="2" max="2" width="70.7109375" style="694" customWidth="1"/>
    <col min="3" max="8" width="18.28125" style="694" customWidth="1"/>
    <col min="9" max="16384" width="9.140625" style="694" customWidth="1"/>
  </cols>
  <sheetData>
    <row r="1" spans="1:8" ht="13.5" customHeight="1">
      <c r="A1" s="1928" t="s">
        <v>523</v>
      </c>
      <c r="B1" s="1906" t="s">
        <v>502</v>
      </c>
      <c r="C1" s="1854" t="s">
        <v>1065</v>
      </c>
      <c r="D1" s="1851" t="s">
        <v>1050</v>
      </c>
      <c r="E1" s="1852"/>
      <c r="F1" s="1852"/>
      <c r="G1" s="1853"/>
      <c r="H1" s="1848" t="s">
        <v>1051</v>
      </c>
    </row>
    <row r="2" spans="1:8" ht="48" thickBot="1">
      <c r="A2" s="1929"/>
      <c r="B2" s="1907"/>
      <c r="C2" s="1855"/>
      <c r="D2" s="1136" t="s">
        <v>287</v>
      </c>
      <c r="E2" s="1136" t="s">
        <v>795</v>
      </c>
      <c r="F2" s="1136" t="s">
        <v>796</v>
      </c>
      <c r="G2" s="1136" t="s">
        <v>65</v>
      </c>
      <c r="H2" s="1849"/>
    </row>
    <row r="3" spans="1:8" ht="15.75">
      <c r="A3" s="707" t="s">
        <v>213</v>
      </c>
      <c r="B3" s="708" t="s">
        <v>214</v>
      </c>
      <c r="C3" s="709"/>
      <c r="D3" s="709"/>
      <c r="E3" s="708"/>
      <c r="F3" s="708"/>
      <c r="G3" s="709">
        <f>SUM(D3:F3)</f>
        <v>0</v>
      </c>
      <c r="H3" s="721"/>
    </row>
    <row r="4" spans="1:8" ht="15" customHeight="1">
      <c r="A4" s="714" t="s">
        <v>215</v>
      </c>
      <c r="B4" s="691" t="s">
        <v>216</v>
      </c>
      <c r="C4" s="695"/>
      <c r="D4" s="695"/>
      <c r="E4" s="695"/>
      <c r="F4" s="695"/>
      <c r="G4" s="695">
        <f>SUM(D4:F4)</f>
        <v>0</v>
      </c>
      <c r="H4" s="1427"/>
    </row>
    <row r="5" spans="1:8" ht="15" customHeight="1">
      <c r="A5" s="714" t="s">
        <v>534</v>
      </c>
      <c r="B5" s="691" t="s">
        <v>535</v>
      </c>
      <c r="C5" s="700"/>
      <c r="D5" s="695"/>
      <c r="E5" s="1428"/>
      <c r="F5" s="1428"/>
      <c r="G5" s="700">
        <f aca="true" t="shared" si="0" ref="G5:G13">SUM(D5:F5)</f>
        <v>0</v>
      </c>
      <c r="H5" s="701"/>
    </row>
    <row r="6" spans="1:8" ht="15" customHeight="1">
      <c r="A6" s="714" t="s">
        <v>536</v>
      </c>
      <c r="B6" s="691" t="s">
        <v>537</v>
      </c>
      <c r="C6" s="695">
        <f>C7+C9</f>
        <v>5170</v>
      </c>
      <c r="D6" s="695">
        <f>D7+D9</f>
        <v>0</v>
      </c>
      <c r="E6" s="695">
        <f>E7+E9</f>
        <v>0</v>
      </c>
      <c r="F6" s="695">
        <f>F7+F9</f>
        <v>0</v>
      </c>
      <c r="G6" s="702">
        <f t="shared" si="0"/>
        <v>0</v>
      </c>
      <c r="H6" s="701">
        <f>G6/C6</f>
        <v>0</v>
      </c>
    </row>
    <row r="7" spans="1:8" ht="15" customHeight="1">
      <c r="A7" s="715"/>
      <c r="B7" s="1429" t="s">
        <v>538</v>
      </c>
      <c r="C7" s="1430">
        <f>SUM(C8:C8)</f>
        <v>5170</v>
      </c>
      <c r="D7" s="1430">
        <f>SUM(D8:D8)</f>
        <v>0</v>
      </c>
      <c r="E7" s="1430">
        <f>SUM(E8:E8)</f>
        <v>0</v>
      </c>
      <c r="F7" s="1430">
        <f>SUM(F8:F8)</f>
        <v>0</v>
      </c>
      <c r="G7" s="1431">
        <f t="shared" si="0"/>
        <v>0</v>
      </c>
      <c r="H7" s="1432">
        <f>G7/C7</f>
        <v>0</v>
      </c>
    </row>
    <row r="8" spans="1:8" ht="15" customHeight="1">
      <c r="A8" s="715"/>
      <c r="B8" s="716" t="s">
        <v>557</v>
      </c>
      <c r="C8" s="696">
        <v>5170</v>
      </c>
      <c r="D8" s="696"/>
      <c r="E8" s="696"/>
      <c r="F8" s="696"/>
      <c r="G8" s="703">
        <f t="shared" si="0"/>
        <v>0</v>
      </c>
      <c r="H8" s="698">
        <f>G8/C8</f>
        <v>0</v>
      </c>
    </row>
    <row r="9" spans="1:8" ht="15.75">
      <c r="A9" s="715"/>
      <c r="B9" s="1429" t="s">
        <v>540</v>
      </c>
      <c r="C9" s="696"/>
      <c r="D9" s="696"/>
      <c r="E9" s="696"/>
      <c r="F9" s="696"/>
      <c r="G9" s="717">
        <f t="shared" si="0"/>
        <v>0</v>
      </c>
      <c r="H9" s="699"/>
    </row>
    <row r="10" spans="1:8" ht="15.75">
      <c r="A10" s="714" t="s">
        <v>541</v>
      </c>
      <c r="B10" s="691" t="s">
        <v>542</v>
      </c>
      <c r="C10" s="700"/>
      <c r="D10" s="700"/>
      <c r="E10" s="700"/>
      <c r="F10" s="700"/>
      <c r="G10" s="700">
        <f t="shared" si="0"/>
        <v>0</v>
      </c>
      <c r="H10" s="1434"/>
    </row>
    <row r="11" spans="1:8" ht="15.75">
      <c r="A11" s="714" t="s">
        <v>543</v>
      </c>
      <c r="B11" s="691" t="s">
        <v>546</v>
      </c>
      <c r="C11" s="700"/>
      <c r="D11" s="700"/>
      <c r="E11" s="700"/>
      <c r="F11" s="700"/>
      <c r="G11" s="700">
        <f t="shared" si="0"/>
        <v>0</v>
      </c>
      <c r="H11" s="1434"/>
    </row>
    <row r="12" spans="1:8" ht="16.5" thickBot="1">
      <c r="A12" s="718" t="s">
        <v>544</v>
      </c>
      <c r="B12" s="692" t="s">
        <v>545</v>
      </c>
      <c r="C12" s="704">
        <f>(C3+C4+C5+C6)*27%</f>
        <v>1396</v>
      </c>
      <c r="D12" s="704">
        <f>((D3+D4+D5+D6)*27%)</f>
        <v>0</v>
      </c>
      <c r="E12" s="704">
        <f>(E3+E4+E5+E6)*27%</f>
        <v>0</v>
      </c>
      <c r="F12" s="704">
        <f>(F3+F4+F5+F6)*27%</f>
        <v>0</v>
      </c>
      <c r="G12" s="704">
        <f t="shared" si="0"/>
        <v>0</v>
      </c>
      <c r="H12" s="705">
        <f>G12/C12</f>
        <v>0</v>
      </c>
    </row>
    <row r="13" spans="1:8" s="1343" customFormat="1" ht="35.25" customHeight="1" thickBot="1">
      <c r="A13" s="719"/>
      <c r="B13" s="693" t="s">
        <v>547</v>
      </c>
      <c r="C13" s="693">
        <f>C3+C4+C5+C6+C10+C11+C12</f>
        <v>6566</v>
      </c>
      <c r="D13" s="693">
        <f>D3+D4+D5+D6+D10+D11+D12</f>
        <v>0</v>
      </c>
      <c r="E13" s="693">
        <f>E3+E4+E5+E6+E10+E11+E12</f>
        <v>0</v>
      </c>
      <c r="F13" s="693">
        <f>F3+F4+F5+F6+F10+F11+F12</f>
        <v>0</v>
      </c>
      <c r="G13" s="693">
        <f t="shared" si="0"/>
        <v>0</v>
      </c>
      <c r="H13" s="706">
        <f>G13/C13</f>
        <v>0</v>
      </c>
    </row>
  </sheetData>
  <sheetProtection/>
  <mergeCells count="5">
    <mergeCell ref="A1:A2"/>
    <mergeCell ref="H1:H2"/>
    <mergeCell ref="C1:C2"/>
    <mergeCell ref="B1:B2"/>
    <mergeCell ref="D1:G1"/>
  </mergeCells>
  <printOptions horizontalCentered="1"/>
  <pageMargins left="0.5905511811023623" right="0.5905511811023623" top="0.984251968503937" bottom="1.1811023622047245" header="0.3937007874015748" footer="0.3937007874015748"/>
  <pageSetup fitToHeight="1" fitToWidth="1" horizontalDpi="600" verticalDpi="600" orientation="landscape" paperSize="9" scale="72" r:id="rId1"/>
  <headerFooter alignWithMargins="0">
    <oddHeader>&amp;C&amp;"Times New Roman,Normál"GAMESZ  
2017. ÉVI BERUHÁZÁSI KIADÁSAI 
&amp;R&amp;"Times New Roman,Normál"4.22. sz. melléklet&amp;"MS Sans Serif,Normál"
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view="pageLayout" workbookViewId="0" topLeftCell="A4">
      <selection activeCell="D11" sqref="D11"/>
    </sheetView>
  </sheetViews>
  <sheetFormatPr defaultColWidth="8.8515625" defaultRowHeight="12.75"/>
  <cols>
    <col min="1" max="1" width="8.8515625" style="170" customWidth="1"/>
    <col min="2" max="2" width="53.28125" style="169" customWidth="1"/>
    <col min="3" max="3" width="12.140625" style="169" customWidth="1"/>
    <col min="4" max="4" width="11.8515625" style="169" customWidth="1"/>
    <col min="5" max="6" width="10.8515625" style="169" bestFit="1" customWidth="1"/>
    <col min="7" max="7" width="13.00390625" style="169" customWidth="1"/>
    <col min="8" max="15" width="10.8515625" style="169" bestFit="1" customWidth="1"/>
    <col min="16" max="16" width="10.140625" style="169" customWidth="1"/>
    <col min="17" max="17" width="8.8515625" style="169" customWidth="1"/>
    <col min="18" max="18" width="12.7109375" style="169" bestFit="1" customWidth="1"/>
    <col min="19" max="19" width="9.421875" style="169" bestFit="1" customWidth="1"/>
    <col min="20" max="30" width="9.00390625" style="170" bestFit="1" customWidth="1"/>
    <col min="31" max="16384" width="8.8515625" style="170" customWidth="1"/>
  </cols>
  <sheetData>
    <row r="1" spans="1:16" ht="16.5" customHeight="1">
      <c r="A1" s="1901" t="s">
        <v>569</v>
      </c>
      <c r="B1" s="1896" t="s">
        <v>425</v>
      </c>
      <c r="C1" s="1065" t="s">
        <v>779</v>
      </c>
      <c r="D1" s="1065" t="s">
        <v>779</v>
      </c>
      <c r="E1" s="1065" t="s">
        <v>779</v>
      </c>
      <c r="F1" s="1065" t="s">
        <v>779</v>
      </c>
      <c r="G1" s="1065" t="s">
        <v>779</v>
      </c>
      <c r="H1" s="1065" t="s">
        <v>779</v>
      </c>
      <c r="I1" s="1065" t="s">
        <v>779</v>
      </c>
      <c r="J1" s="1065" t="s">
        <v>779</v>
      </c>
      <c r="K1" s="1065" t="s">
        <v>779</v>
      </c>
      <c r="L1" s="1065" t="s">
        <v>779</v>
      </c>
      <c r="M1" s="1065" t="s">
        <v>779</v>
      </c>
      <c r="N1" s="1065" t="s">
        <v>779</v>
      </c>
      <c r="O1" s="1097" t="s">
        <v>779</v>
      </c>
      <c r="P1" s="168"/>
    </row>
    <row r="2" spans="1:16" ht="13.5" thickBot="1">
      <c r="A2" s="1902"/>
      <c r="B2" s="1932"/>
      <c r="C2" s="873" t="s">
        <v>777</v>
      </c>
      <c r="D2" s="873" t="s">
        <v>42</v>
      </c>
      <c r="E2" s="873" t="s">
        <v>43</v>
      </c>
      <c r="F2" s="873" t="s">
        <v>700</v>
      </c>
      <c r="G2" s="873" t="s">
        <v>701</v>
      </c>
      <c r="H2" s="873" t="s">
        <v>702</v>
      </c>
      <c r="I2" s="873" t="s">
        <v>703</v>
      </c>
      <c r="J2" s="873" t="s">
        <v>748</v>
      </c>
      <c r="K2" s="873" t="s">
        <v>705</v>
      </c>
      <c r="L2" s="873" t="s">
        <v>706</v>
      </c>
      <c r="M2" s="873" t="s">
        <v>707</v>
      </c>
      <c r="N2" s="873" t="s">
        <v>708</v>
      </c>
      <c r="O2" s="874" t="s">
        <v>709</v>
      </c>
      <c r="P2" s="168"/>
    </row>
    <row r="3" spans="1:16" ht="24.75" customHeight="1">
      <c r="A3" s="548" t="s">
        <v>185</v>
      </c>
      <c r="B3" s="574" t="s">
        <v>186</v>
      </c>
      <c r="C3" s="626">
        <f aca="true" t="shared" si="0" ref="C3:C13">SUM(D3:O3)</f>
        <v>289480970</v>
      </c>
      <c r="D3" s="1719">
        <f>19457883+18662123+1</f>
        <v>38120007</v>
      </c>
      <c r="E3" s="1719">
        <f>19457883+18662123</f>
        <v>38120006</v>
      </c>
      <c r="F3" s="1719">
        <f>19457883+18662123</f>
        <v>38120006</v>
      </c>
      <c r="G3" s="1719">
        <v>19457883</v>
      </c>
      <c r="H3" s="1719">
        <v>19457883</v>
      </c>
      <c r="I3" s="1719">
        <v>19457883</v>
      </c>
      <c r="J3" s="1719">
        <v>19457883</v>
      </c>
      <c r="K3" s="1719">
        <v>19457887</v>
      </c>
      <c r="L3" s="1719">
        <v>19457883</v>
      </c>
      <c r="M3" s="1719">
        <v>19457883</v>
      </c>
      <c r="N3" s="1719">
        <v>19457883</v>
      </c>
      <c r="O3" s="1720">
        <v>19457883</v>
      </c>
      <c r="P3" s="171"/>
    </row>
    <row r="4" spans="1:16" ht="24.75" customHeight="1">
      <c r="A4" s="549" t="s">
        <v>187</v>
      </c>
      <c r="B4" s="575" t="s">
        <v>145</v>
      </c>
      <c r="C4" s="466">
        <f t="shared" si="0"/>
        <v>0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  <c r="P4" s="171"/>
    </row>
    <row r="5" spans="1:19" s="173" customFormat="1" ht="24.75" customHeight="1">
      <c r="A5" s="549" t="s">
        <v>193</v>
      </c>
      <c r="B5" s="575" t="s">
        <v>148</v>
      </c>
      <c r="C5" s="466">
        <f t="shared" si="0"/>
        <v>0</v>
      </c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0"/>
      <c r="P5" s="171"/>
      <c r="Q5" s="169"/>
      <c r="R5" s="172"/>
      <c r="S5" s="172"/>
    </row>
    <row r="6" spans="1:19" s="173" customFormat="1" ht="24.75" customHeight="1">
      <c r="A6" s="549" t="s">
        <v>469</v>
      </c>
      <c r="B6" s="575" t="s">
        <v>664</v>
      </c>
      <c r="C6" s="466">
        <f t="shared" si="0"/>
        <v>401850175</v>
      </c>
      <c r="D6" s="359">
        <f>5500000+7200000+10347000+14566000</f>
        <v>37613000</v>
      </c>
      <c r="E6" s="359">
        <f>5500000+7200000+10347000+14566000+1385238</f>
        <v>38998238</v>
      </c>
      <c r="F6" s="359">
        <f>5500000+7200000+10347000+14566000</f>
        <v>37613000</v>
      </c>
      <c r="G6" s="359">
        <f>5500000+7200000+10347000+14566000+1385239</f>
        <v>38998239</v>
      </c>
      <c r="H6" s="359">
        <f>5500000+7200000+10347000+7283000</f>
        <v>30330000</v>
      </c>
      <c r="I6" s="359">
        <f>3200000+7200000+10347000</f>
        <v>20747000</v>
      </c>
      <c r="J6" s="359">
        <f>975610+7200000+10347000+1385238</f>
        <v>19907848</v>
      </c>
      <c r="K6" s="359">
        <f>975611+7200000+10347000+14566000</f>
        <v>33088611</v>
      </c>
      <c r="L6" s="359">
        <f>5500000+7200000+10347000+14566000</f>
        <v>37613000</v>
      </c>
      <c r="M6" s="359">
        <f>5500000+7200000+10347000+14566000</f>
        <v>37613000</v>
      </c>
      <c r="N6" s="359">
        <f>5500000+7200000+10347000+14566000+1385239</f>
        <v>38998239</v>
      </c>
      <c r="O6" s="360">
        <f>5500000+7200000+10347000+7283000</f>
        <v>30330000</v>
      </c>
      <c r="P6" s="171"/>
      <c r="Q6" s="169"/>
      <c r="R6" s="172"/>
      <c r="S6" s="172"/>
    </row>
    <row r="7" spans="1:16" ht="24.75" customHeight="1">
      <c r="A7" s="549" t="s">
        <v>486</v>
      </c>
      <c r="B7" s="575" t="s">
        <v>663</v>
      </c>
      <c r="C7" s="466">
        <f t="shared" si="0"/>
        <v>0</v>
      </c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60"/>
      <c r="P7" s="171"/>
    </row>
    <row r="8" spans="1:16" ht="24.75" customHeight="1">
      <c r="A8" s="549" t="s">
        <v>471</v>
      </c>
      <c r="B8" s="575" t="s">
        <v>475</v>
      </c>
      <c r="C8" s="466">
        <f t="shared" si="0"/>
        <v>0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60"/>
      <c r="P8" s="171"/>
    </row>
    <row r="9" spans="1:16" ht="24.75" customHeight="1">
      <c r="A9" s="549" t="s">
        <v>473</v>
      </c>
      <c r="B9" s="575" t="s">
        <v>474</v>
      </c>
      <c r="C9" s="466">
        <f t="shared" si="0"/>
        <v>0</v>
      </c>
      <c r="D9" s="627"/>
      <c r="E9" s="627"/>
      <c r="F9" s="627"/>
      <c r="G9" s="627"/>
      <c r="H9" s="627"/>
      <c r="I9" s="359"/>
      <c r="J9" s="359"/>
      <c r="K9" s="359"/>
      <c r="L9" s="359"/>
      <c r="M9" s="359"/>
      <c r="N9" s="359"/>
      <c r="O9" s="360"/>
      <c r="P9" s="171"/>
    </row>
    <row r="10" spans="1:16" ht="24.75" customHeight="1">
      <c r="A10" s="549" t="s">
        <v>476</v>
      </c>
      <c r="B10" s="628" t="s">
        <v>286</v>
      </c>
      <c r="C10" s="466">
        <f>SUM(C3:C9)</f>
        <v>691331145</v>
      </c>
      <c r="D10" s="466">
        <f aca="true" t="shared" si="1" ref="D10:O10">SUM(D3:D9)</f>
        <v>75733007</v>
      </c>
      <c r="E10" s="466">
        <f t="shared" si="1"/>
        <v>77118244</v>
      </c>
      <c r="F10" s="466">
        <f t="shared" si="1"/>
        <v>75733006</v>
      </c>
      <c r="G10" s="466">
        <f t="shared" si="1"/>
        <v>58456122</v>
      </c>
      <c r="H10" s="466">
        <f t="shared" si="1"/>
        <v>49787883</v>
      </c>
      <c r="I10" s="466">
        <f t="shared" si="1"/>
        <v>40204883</v>
      </c>
      <c r="J10" s="466">
        <f t="shared" si="1"/>
        <v>39365731</v>
      </c>
      <c r="K10" s="466">
        <f t="shared" si="1"/>
        <v>52546498</v>
      </c>
      <c r="L10" s="466">
        <f t="shared" si="1"/>
        <v>57070883</v>
      </c>
      <c r="M10" s="466">
        <f t="shared" si="1"/>
        <v>57070883</v>
      </c>
      <c r="N10" s="466">
        <f t="shared" si="1"/>
        <v>58456122</v>
      </c>
      <c r="O10" s="361">
        <f t="shared" si="1"/>
        <v>49787883</v>
      </c>
      <c r="P10" s="171"/>
    </row>
    <row r="11" spans="1:15" s="305" customFormat="1" ht="24.75" customHeight="1">
      <c r="A11" s="549" t="s">
        <v>477</v>
      </c>
      <c r="B11" s="575" t="s">
        <v>478</v>
      </c>
      <c r="C11" s="466">
        <f t="shared" si="0"/>
        <v>3682154020</v>
      </c>
      <c r="D11" s="1023">
        <f>D19+D20+D21+D22+D23+D24-D3-D6</f>
        <v>303191339</v>
      </c>
      <c r="E11" s="1023">
        <f aca="true" t="shared" si="2" ref="E11:O11">E19+E20+E21+E22+E23+E24-E3-E6</f>
        <v>304457284</v>
      </c>
      <c r="F11" s="1023">
        <f t="shared" si="2"/>
        <v>301942520</v>
      </c>
      <c r="G11" s="1023">
        <f t="shared" si="2"/>
        <v>327119404</v>
      </c>
      <c r="H11" s="1023">
        <f t="shared" si="2"/>
        <v>324042643</v>
      </c>
      <c r="I11" s="1023">
        <f t="shared" si="2"/>
        <v>288931097</v>
      </c>
      <c r="J11" s="1023">
        <f t="shared" si="2"/>
        <v>287373170</v>
      </c>
      <c r="K11" s="1023">
        <f t="shared" si="2"/>
        <v>268842403</v>
      </c>
      <c r="L11" s="1023">
        <f t="shared" si="2"/>
        <v>313404643</v>
      </c>
      <c r="M11" s="1023">
        <f t="shared" si="2"/>
        <v>321704643</v>
      </c>
      <c r="N11" s="1023">
        <f t="shared" si="2"/>
        <v>315669404</v>
      </c>
      <c r="O11" s="1095">
        <f t="shared" si="2"/>
        <v>325475470</v>
      </c>
    </row>
    <row r="12" spans="1:16" ht="24.75" customHeight="1">
      <c r="A12" s="893"/>
      <c r="B12" s="886" t="s">
        <v>405</v>
      </c>
      <c r="C12" s="466">
        <f t="shared" si="0"/>
        <v>0</v>
      </c>
      <c r="D12" s="627"/>
      <c r="E12" s="627"/>
      <c r="F12" s="627"/>
      <c r="G12" s="627"/>
      <c r="H12" s="627"/>
      <c r="I12" s="359"/>
      <c r="J12" s="359"/>
      <c r="K12" s="359"/>
      <c r="L12" s="359"/>
      <c r="M12" s="359"/>
      <c r="N12" s="359"/>
      <c r="O12" s="360"/>
      <c r="P12" s="171"/>
    </row>
    <row r="13" spans="1:16" ht="24.75" customHeight="1" thickBot="1">
      <c r="A13" s="894"/>
      <c r="B13" s="888" t="s">
        <v>404</v>
      </c>
      <c r="C13" s="738">
        <f t="shared" si="0"/>
        <v>0</v>
      </c>
      <c r="D13" s="1721"/>
      <c r="E13" s="1721"/>
      <c r="F13" s="1721"/>
      <c r="G13" s="1721"/>
      <c r="H13" s="1721"/>
      <c r="I13" s="1722"/>
      <c r="J13" s="1722"/>
      <c r="K13" s="1722"/>
      <c r="L13" s="1722"/>
      <c r="M13" s="1722"/>
      <c r="N13" s="1722"/>
      <c r="O13" s="889"/>
      <c r="P13" s="171"/>
    </row>
    <row r="14" spans="1:16" ht="24.75" customHeight="1" thickBot="1">
      <c r="A14" s="630"/>
      <c r="B14" s="884" t="s">
        <v>412</v>
      </c>
      <c r="C14" s="174">
        <f>C10+C11</f>
        <v>4373485165</v>
      </c>
      <c r="D14" s="1094">
        <f>D10+D11</f>
        <v>378924346</v>
      </c>
      <c r="E14" s="1094">
        <f aca="true" t="shared" si="3" ref="E14:O14">E10+E11</f>
        <v>381575528</v>
      </c>
      <c r="F14" s="1094">
        <f t="shared" si="3"/>
        <v>377675526</v>
      </c>
      <c r="G14" s="1094">
        <f t="shared" si="3"/>
        <v>385575526</v>
      </c>
      <c r="H14" s="1094">
        <f t="shared" si="3"/>
        <v>373830526</v>
      </c>
      <c r="I14" s="1094">
        <f t="shared" si="3"/>
        <v>329135980</v>
      </c>
      <c r="J14" s="1094">
        <f t="shared" si="3"/>
        <v>326738901</v>
      </c>
      <c r="K14" s="1094">
        <f t="shared" si="3"/>
        <v>321388901</v>
      </c>
      <c r="L14" s="1094">
        <f t="shared" si="3"/>
        <v>370475526</v>
      </c>
      <c r="M14" s="1094">
        <f t="shared" si="3"/>
        <v>378775526</v>
      </c>
      <c r="N14" s="1094">
        <f t="shared" si="3"/>
        <v>374125526</v>
      </c>
      <c r="O14" s="1096">
        <f t="shared" si="3"/>
        <v>375263353</v>
      </c>
      <c r="P14" s="171"/>
    </row>
    <row r="15" spans="2:16" ht="12.75">
      <c r="B15" s="1898"/>
      <c r="C15" s="1898"/>
      <c r="D15" s="1898"/>
      <c r="E15" s="1898"/>
      <c r="F15" s="1898"/>
      <c r="G15" s="1898"/>
      <c r="H15" s="1898"/>
      <c r="I15" s="1898"/>
      <c r="J15" s="1898"/>
      <c r="K15" s="1898"/>
      <c r="L15" s="1898"/>
      <c r="M15" s="1898"/>
      <c r="N15" s="1898"/>
      <c r="O15" s="1898"/>
      <c r="P15" s="171"/>
    </row>
    <row r="16" spans="2:16" ht="13.5" thickBot="1">
      <c r="B16" s="1898"/>
      <c r="C16" s="1898"/>
      <c r="D16" s="1898"/>
      <c r="E16" s="1898"/>
      <c r="F16" s="1898"/>
      <c r="G16" s="1898"/>
      <c r="H16" s="1898"/>
      <c r="I16" s="1898"/>
      <c r="J16" s="1898"/>
      <c r="K16" s="1898"/>
      <c r="L16" s="1898"/>
      <c r="M16" s="1898"/>
      <c r="N16" s="1898"/>
      <c r="O16" s="1898"/>
      <c r="P16" s="171"/>
    </row>
    <row r="17" spans="1:16" ht="15" customHeight="1">
      <c r="A17" s="1901" t="s">
        <v>569</v>
      </c>
      <c r="B17" s="1899" t="s">
        <v>427</v>
      </c>
      <c r="C17" s="1065" t="s">
        <v>779</v>
      </c>
      <c r="D17" s="1065" t="s">
        <v>779</v>
      </c>
      <c r="E17" s="1065" t="s">
        <v>779</v>
      </c>
      <c r="F17" s="1065" t="s">
        <v>779</v>
      </c>
      <c r="G17" s="1065" t="s">
        <v>779</v>
      </c>
      <c r="H17" s="1065" t="s">
        <v>779</v>
      </c>
      <c r="I17" s="1065" t="s">
        <v>779</v>
      </c>
      <c r="J17" s="1065" t="s">
        <v>779</v>
      </c>
      <c r="K17" s="1065" t="s">
        <v>779</v>
      </c>
      <c r="L17" s="1065" t="s">
        <v>779</v>
      </c>
      <c r="M17" s="1065" t="s">
        <v>779</v>
      </c>
      <c r="N17" s="1065" t="s">
        <v>779</v>
      </c>
      <c r="O17" s="1097" t="s">
        <v>779</v>
      </c>
      <c r="P17" s="171"/>
    </row>
    <row r="18" spans="1:16" ht="13.5" thickBot="1">
      <c r="A18" s="1903"/>
      <c r="B18" s="1900"/>
      <c r="C18" s="873" t="s">
        <v>777</v>
      </c>
      <c r="D18" s="873" t="s">
        <v>42</v>
      </c>
      <c r="E18" s="873" t="s">
        <v>43</v>
      </c>
      <c r="F18" s="873" t="s">
        <v>700</v>
      </c>
      <c r="G18" s="873" t="s">
        <v>701</v>
      </c>
      <c r="H18" s="873" t="s">
        <v>702</v>
      </c>
      <c r="I18" s="873" t="s">
        <v>703</v>
      </c>
      <c r="J18" s="873" t="s">
        <v>748</v>
      </c>
      <c r="K18" s="873" t="s">
        <v>705</v>
      </c>
      <c r="L18" s="873" t="s">
        <v>706</v>
      </c>
      <c r="M18" s="873" t="s">
        <v>707</v>
      </c>
      <c r="N18" s="873" t="s">
        <v>708</v>
      </c>
      <c r="O18" s="874" t="s">
        <v>709</v>
      </c>
      <c r="P18" s="171"/>
    </row>
    <row r="19" spans="1:16" ht="24.75" customHeight="1">
      <c r="A19" s="548" t="s">
        <v>104</v>
      </c>
      <c r="B19" s="574" t="s">
        <v>105</v>
      </c>
      <c r="C19" s="689">
        <f aca="true" t="shared" si="4" ref="C19:C30">SUM(D19:O19)</f>
        <v>2313299242</v>
      </c>
      <c r="D19" s="626">
        <v>191024937</v>
      </c>
      <c r="E19" s="626">
        <v>192335047</v>
      </c>
      <c r="F19" s="626">
        <v>192335047</v>
      </c>
      <c r="G19" s="626">
        <v>192335047</v>
      </c>
      <c r="H19" s="626">
        <v>192335047</v>
      </c>
      <c r="I19" s="626">
        <f>192335047+1423835</f>
        <v>193758882</v>
      </c>
      <c r="J19" s="626">
        <v>192335047</v>
      </c>
      <c r="K19" s="626">
        <v>192335047</v>
      </c>
      <c r="L19" s="626">
        <v>192335047</v>
      </c>
      <c r="M19" s="626">
        <v>192335047</v>
      </c>
      <c r="N19" s="626">
        <v>192335047</v>
      </c>
      <c r="O19" s="436">
        <v>197500000</v>
      </c>
      <c r="P19" s="171"/>
    </row>
    <row r="20" spans="1:16" ht="24.75" customHeight="1">
      <c r="A20" s="549" t="s">
        <v>106</v>
      </c>
      <c r="B20" s="481" t="s">
        <v>107</v>
      </c>
      <c r="C20" s="465">
        <f t="shared" si="4"/>
        <v>545998560</v>
      </c>
      <c r="D20" s="1098">
        <f>42025486+1422644</f>
        <v>43448130</v>
      </c>
      <c r="E20" s="1098">
        <f>42313710+5000000+1422644+2</f>
        <v>48736356</v>
      </c>
      <c r="F20" s="1098">
        <f>42313710+1422644</f>
        <v>43736354</v>
      </c>
      <c r="G20" s="1098">
        <f>42313710+5000000+1422644</f>
        <v>48736354</v>
      </c>
      <c r="H20" s="1098">
        <f>42313710+1422644</f>
        <v>43736354</v>
      </c>
      <c r="I20" s="1098">
        <f>42626954+1422644</f>
        <v>44049598</v>
      </c>
      <c r="J20" s="1098">
        <f>42313710+5000000+1422644</f>
        <v>48736354</v>
      </c>
      <c r="K20" s="1098">
        <f>42313710+1422644</f>
        <v>43736354</v>
      </c>
      <c r="L20" s="1098">
        <f>42313710+1422644</f>
        <v>43736354</v>
      </c>
      <c r="M20" s="1098">
        <f>42313710+5000000+1422644</f>
        <v>48736354</v>
      </c>
      <c r="N20" s="1098">
        <f>42313710+1422644</f>
        <v>43736354</v>
      </c>
      <c r="O20" s="1099">
        <f>43451000+1422644</f>
        <v>44873644</v>
      </c>
      <c r="P20" s="171"/>
    </row>
    <row r="21" spans="1:16" ht="24.75" customHeight="1">
      <c r="A21" s="549" t="s">
        <v>108</v>
      </c>
      <c r="B21" s="575" t="s">
        <v>109</v>
      </c>
      <c r="C21" s="465">
        <f t="shared" si="4"/>
        <v>1490375209</v>
      </c>
      <c r="D21" s="1098">
        <f>81936625+30000000+26000000+1500000+200000</f>
        <v>139636625</v>
      </c>
      <c r="E21" s="1098">
        <f>81936625+30000000+26000000+1500000+200000</f>
        <v>139636625</v>
      </c>
      <c r="F21" s="1098">
        <f>81936625+30000000+26000000+1500000+100000</f>
        <v>139536625</v>
      </c>
      <c r="G21" s="1098">
        <f>81936625+29000000+26000000+1000000</f>
        <v>137936625</v>
      </c>
      <c r="H21" s="1098">
        <f>81936625+28000000+25000000+1000000</f>
        <v>135936625</v>
      </c>
      <c r="I21" s="1098">
        <f>41000000+25000000+24500000+400000</f>
        <v>90900000</v>
      </c>
      <c r="J21" s="1098">
        <f>39000000+23000000+23000000+250000</f>
        <v>85250000</v>
      </c>
      <c r="K21" s="1098">
        <f>35000000+24000000+23000000+2500000</f>
        <v>84500000</v>
      </c>
      <c r="L21" s="1098">
        <f>81936625+25000000+24000000+800000+100000</f>
        <v>131836625</v>
      </c>
      <c r="M21" s="1098">
        <f>81936625+27000000+24500000+1000000+200000</f>
        <v>134636625</v>
      </c>
      <c r="N21" s="1098">
        <f>81936625+29000000+25500000+1400000</f>
        <v>137836625</v>
      </c>
      <c r="O21" s="1099">
        <f>75000000+30000000+26000000+1600000+132209</f>
        <v>132732209</v>
      </c>
      <c r="P21" s="171"/>
    </row>
    <row r="22" spans="1:16" ht="24.75" customHeight="1">
      <c r="A22" s="549" t="s">
        <v>110</v>
      </c>
      <c r="B22" s="575" t="s">
        <v>111</v>
      </c>
      <c r="C22" s="465">
        <f t="shared" si="4"/>
        <v>810000</v>
      </c>
      <c r="D22" s="363">
        <v>67500</v>
      </c>
      <c r="E22" s="363">
        <v>67500</v>
      </c>
      <c r="F22" s="363">
        <v>67500</v>
      </c>
      <c r="G22" s="363">
        <v>67500</v>
      </c>
      <c r="H22" s="363">
        <v>67500</v>
      </c>
      <c r="I22" s="363">
        <v>67500</v>
      </c>
      <c r="J22" s="363">
        <v>67500</v>
      </c>
      <c r="K22" s="363">
        <v>67500</v>
      </c>
      <c r="L22" s="363">
        <v>67500</v>
      </c>
      <c r="M22" s="363">
        <v>67500</v>
      </c>
      <c r="N22" s="363">
        <v>67500</v>
      </c>
      <c r="O22" s="758">
        <v>67500</v>
      </c>
      <c r="P22" s="171"/>
    </row>
    <row r="23" spans="1:16" ht="24.75" customHeight="1">
      <c r="A23" s="549" t="s">
        <v>112</v>
      </c>
      <c r="B23" s="575" t="s">
        <v>113</v>
      </c>
      <c r="C23" s="465">
        <f t="shared" si="4"/>
        <v>0</v>
      </c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361"/>
      <c r="P23" s="171"/>
    </row>
    <row r="24" spans="1:16" ht="24.75" customHeight="1">
      <c r="A24" s="549" t="s">
        <v>548</v>
      </c>
      <c r="B24" s="575" t="s">
        <v>121</v>
      </c>
      <c r="C24" s="465">
        <f t="shared" si="4"/>
        <v>23002154</v>
      </c>
      <c r="D24" s="466">
        <f>3402304+55245+1066765+222840</f>
        <v>4747154</v>
      </c>
      <c r="E24" s="466">
        <v>800000</v>
      </c>
      <c r="F24" s="1098">
        <v>2000000</v>
      </c>
      <c r="G24" s="1098">
        <v>6500000</v>
      </c>
      <c r="H24" s="1098">
        <f>8255000-6500000</f>
        <v>1755000</v>
      </c>
      <c r="I24" s="1098">
        <v>360000</v>
      </c>
      <c r="J24" s="1098">
        <v>350000</v>
      </c>
      <c r="K24" s="1098">
        <v>750000</v>
      </c>
      <c r="L24" s="1098">
        <v>2500000</v>
      </c>
      <c r="M24" s="466">
        <v>3000000</v>
      </c>
      <c r="N24" s="466">
        <v>150000</v>
      </c>
      <c r="O24" s="361">
        <v>90000</v>
      </c>
      <c r="P24" s="171"/>
    </row>
    <row r="25" spans="1:16" ht="24.75" customHeight="1">
      <c r="A25" s="549" t="s">
        <v>122</v>
      </c>
      <c r="B25" s="575" t="s">
        <v>123</v>
      </c>
      <c r="C25" s="465">
        <f t="shared" si="4"/>
        <v>0</v>
      </c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758"/>
      <c r="P25" s="171"/>
    </row>
    <row r="26" spans="1:16" ht="24.75" customHeight="1">
      <c r="A26" s="549" t="s">
        <v>124</v>
      </c>
      <c r="B26" s="575" t="s">
        <v>125</v>
      </c>
      <c r="C26" s="465">
        <f t="shared" si="4"/>
        <v>0</v>
      </c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1"/>
      <c r="P26" s="171"/>
    </row>
    <row r="27" spans="1:16" ht="24.75" customHeight="1">
      <c r="A27" s="549" t="s">
        <v>138</v>
      </c>
      <c r="B27" s="628" t="s">
        <v>139</v>
      </c>
      <c r="C27" s="465">
        <f t="shared" si="4"/>
        <v>0</v>
      </c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758"/>
      <c r="P27" s="171"/>
    </row>
    <row r="28" spans="1:16" ht="24.75" customHeight="1">
      <c r="A28" s="549" t="s">
        <v>129</v>
      </c>
      <c r="B28" s="575" t="s">
        <v>130</v>
      </c>
      <c r="C28" s="465">
        <f t="shared" si="4"/>
        <v>0</v>
      </c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758"/>
      <c r="P28" s="171"/>
    </row>
    <row r="29" spans="1:16" ht="24.75" customHeight="1">
      <c r="A29" s="893"/>
      <c r="B29" s="886" t="s">
        <v>405</v>
      </c>
      <c r="C29" s="466">
        <f t="shared" si="4"/>
        <v>0</v>
      </c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61"/>
      <c r="P29" s="171"/>
    </row>
    <row r="30" spans="1:16" ht="24.75" customHeight="1" thickBot="1">
      <c r="A30" s="894"/>
      <c r="B30" s="888" t="s">
        <v>404</v>
      </c>
      <c r="C30" s="738">
        <f t="shared" si="4"/>
        <v>0</v>
      </c>
      <c r="D30" s="875"/>
      <c r="E30" s="875"/>
      <c r="F30" s="875"/>
      <c r="G30" s="875"/>
      <c r="H30" s="875"/>
      <c r="I30" s="875"/>
      <c r="J30" s="875"/>
      <c r="K30" s="875"/>
      <c r="L30" s="875"/>
      <c r="M30" s="875"/>
      <c r="N30" s="875"/>
      <c r="O30" s="755"/>
      <c r="P30" s="171"/>
    </row>
    <row r="31" spans="1:16" ht="24.75" customHeight="1" thickBot="1">
      <c r="A31" s="630"/>
      <c r="B31" s="884" t="s">
        <v>77</v>
      </c>
      <c r="C31" s="174">
        <f>SUM(C19:C30)</f>
        <v>4373485165</v>
      </c>
      <c r="D31" s="174">
        <f aca="true" t="shared" si="5" ref="D31:O31">SUM(D19:D30)</f>
        <v>378924346</v>
      </c>
      <c r="E31" s="174">
        <f t="shared" si="5"/>
        <v>381575528</v>
      </c>
      <c r="F31" s="174">
        <f t="shared" si="5"/>
        <v>377675526</v>
      </c>
      <c r="G31" s="174">
        <f t="shared" si="5"/>
        <v>385575526</v>
      </c>
      <c r="H31" s="174">
        <f t="shared" si="5"/>
        <v>373830526</v>
      </c>
      <c r="I31" s="174">
        <f t="shared" si="5"/>
        <v>329135980</v>
      </c>
      <c r="J31" s="174">
        <f t="shared" si="5"/>
        <v>326738901</v>
      </c>
      <c r="K31" s="174">
        <f t="shared" si="5"/>
        <v>321388901</v>
      </c>
      <c r="L31" s="174">
        <f t="shared" si="5"/>
        <v>370475526</v>
      </c>
      <c r="M31" s="174">
        <f t="shared" si="5"/>
        <v>378775526</v>
      </c>
      <c r="N31" s="174">
        <f t="shared" si="5"/>
        <v>374125526</v>
      </c>
      <c r="O31" s="759">
        <f t="shared" si="5"/>
        <v>375263353</v>
      </c>
      <c r="P31" s="171"/>
    </row>
  </sheetData>
  <sheetProtection/>
  <mergeCells count="5">
    <mergeCell ref="A17:A18"/>
    <mergeCell ref="B17:B18"/>
    <mergeCell ref="A1:A2"/>
    <mergeCell ref="B1:B2"/>
    <mergeCell ref="B15:O16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4" r:id="rId3"/>
  <headerFooter alignWithMargins="0">
    <oddHeader>&amp;LTÁJÉKOZTATÓ TÁBLA!&amp;C&amp;"Times New Roman,Normál"INTÉZMÉNYEK  
2017. évi bevételi és kiadási előirányzatainak felhasználási terve összesen (Ft-ban)&amp;R&amp;"Times New Roman,Normál"4.23.  sz. melléklet</oddHeader>
  </headerFooter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9.140625" style="1497" customWidth="1"/>
    <col min="2" max="2" width="47.421875" style="1497" customWidth="1"/>
    <col min="3" max="9" width="13.8515625" style="1497" customWidth="1"/>
    <col min="10" max="10" width="13.8515625" style="1497" bestFit="1" customWidth="1"/>
    <col min="11" max="13" width="13.8515625" style="1497" customWidth="1"/>
    <col min="14" max="14" width="17.28125" style="1497" customWidth="1"/>
    <col min="15" max="16384" width="9.140625" style="1497" customWidth="1"/>
  </cols>
  <sheetData>
    <row r="1" spans="1:14" s="1487" customFormat="1" ht="79.5" thickBot="1">
      <c r="A1" s="1484" t="s">
        <v>332</v>
      </c>
      <c r="B1" s="1485" t="s">
        <v>333</v>
      </c>
      <c r="C1" s="1486" t="s">
        <v>1013</v>
      </c>
      <c r="D1" s="1486" t="s">
        <v>436</v>
      </c>
      <c r="E1" s="1486" t="s">
        <v>1104</v>
      </c>
      <c r="F1" s="1486" t="s">
        <v>396</v>
      </c>
      <c r="G1" s="1486" t="s">
        <v>998</v>
      </c>
      <c r="H1" s="1486" t="s">
        <v>1105</v>
      </c>
      <c r="I1" s="1486" t="s">
        <v>1106</v>
      </c>
      <c r="J1" s="1486" t="s">
        <v>1107</v>
      </c>
      <c r="K1" s="1486" t="s">
        <v>1108</v>
      </c>
      <c r="L1" s="1486" t="s">
        <v>1109</v>
      </c>
      <c r="M1" s="1486" t="s">
        <v>502</v>
      </c>
      <c r="N1" s="1485" t="s">
        <v>334</v>
      </c>
    </row>
    <row r="2" spans="1:14" s="1492" customFormat="1" ht="15" customHeight="1">
      <c r="A2" s="1488" t="s">
        <v>695</v>
      </c>
      <c r="B2" s="1489" t="s">
        <v>1014</v>
      </c>
      <c r="C2" s="1490">
        <f>SUM(C3:C6)</f>
        <v>30406000</v>
      </c>
      <c r="D2" s="1490"/>
      <c r="E2" s="1490"/>
      <c r="F2" s="1490"/>
      <c r="G2" s="1490">
        <v>6848006</v>
      </c>
      <c r="H2" s="1490">
        <v>16731726</v>
      </c>
      <c r="I2" s="1490">
        <v>16237540</v>
      </c>
      <c r="J2" s="1490">
        <v>16237540</v>
      </c>
      <c r="K2" s="1490">
        <v>19555646</v>
      </c>
      <c r="L2" s="1490">
        <v>15851000</v>
      </c>
      <c r="M2" s="1490">
        <v>53510000</v>
      </c>
      <c r="N2" s="1491">
        <f>+D2+E2+F2+G2+H2+I2+J2+K2+L2+M2+C2</f>
        <v>175377458</v>
      </c>
    </row>
    <row r="3" spans="1:14" ht="15" customHeight="1">
      <c r="A3" s="1493"/>
      <c r="B3" s="1494" t="s">
        <v>696</v>
      </c>
      <c r="C3" s="1495">
        <v>958000</v>
      </c>
      <c r="D3" s="1495"/>
      <c r="E3" s="1495"/>
      <c r="F3" s="1495"/>
      <c r="G3" s="1495"/>
      <c r="H3" s="1495"/>
      <c r="I3" s="1495"/>
      <c r="J3" s="1495"/>
      <c r="K3" s="1495"/>
      <c r="L3" s="1495"/>
      <c r="M3" s="1495"/>
      <c r="N3" s="1496"/>
    </row>
    <row r="4" spans="1:14" ht="15" customHeight="1">
      <c r="A4" s="1493"/>
      <c r="B4" s="1494" t="s">
        <v>1016</v>
      </c>
      <c r="C4" s="1495">
        <v>8591000</v>
      </c>
      <c r="D4" s="1495"/>
      <c r="E4" s="1495"/>
      <c r="F4" s="1495"/>
      <c r="G4" s="1495"/>
      <c r="H4" s="1495"/>
      <c r="I4" s="1495"/>
      <c r="J4" s="1495"/>
      <c r="K4" s="1495"/>
      <c r="L4" s="1495"/>
      <c r="M4" s="1495"/>
      <c r="N4" s="1496"/>
    </row>
    <row r="5" spans="1:14" ht="15" customHeight="1">
      <c r="A5" s="1493"/>
      <c r="B5" s="1494" t="s">
        <v>1015</v>
      </c>
      <c r="C5" s="1495">
        <v>325000</v>
      </c>
      <c r="D5" s="1498"/>
      <c r="E5" s="1498"/>
      <c r="F5" s="1498"/>
      <c r="G5" s="1498"/>
      <c r="H5" s="1498"/>
      <c r="I5" s="1498"/>
      <c r="J5" s="1498"/>
      <c r="K5" s="1498"/>
      <c r="L5" s="1498"/>
      <c r="M5" s="1498"/>
      <c r="N5" s="1494"/>
    </row>
    <row r="6" spans="1:14" ht="15" customHeight="1" thickBot="1">
      <c r="A6" s="1499"/>
      <c r="B6" s="1500" t="s">
        <v>1103</v>
      </c>
      <c r="C6" s="1501">
        <v>20532000</v>
      </c>
      <c r="D6" s="1502"/>
      <c r="E6" s="1502"/>
      <c r="F6" s="1502"/>
      <c r="G6" s="1502"/>
      <c r="H6" s="1502"/>
      <c r="I6" s="1502"/>
      <c r="J6" s="1502"/>
      <c r="K6" s="1502"/>
      <c r="L6" s="1502"/>
      <c r="M6" s="1502"/>
      <c r="N6" s="1500"/>
    </row>
    <row r="7" spans="1:14" ht="15" customHeight="1">
      <c r="A7" s="1503" t="s">
        <v>697</v>
      </c>
      <c r="B7" s="1504" t="s">
        <v>345</v>
      </c>
      <c r="C7" s="1505">
        <v>0</v>
      </c>
      <c r="D7" s="1505">
        <v>0</v>
      </c>
      <c r="E7" s="1505">
        <v>0</v>
      </c>
      <c r="F7" s="1505">
        <v>0</v>
      </c>
      <c r="G7" s="1505">
        <v>0</v>
      </c>
      <c r="H7" s="1505">
        <v>0</v>
      </c>
      <c r="I7" s="1505">
        <v>0</v>
      </c>
      <c r="J7" s="1505">
        <v>0</v>
      </c>
      <c r="K7" s="1505">
        <v>0</v>
      </c>
      <c r="L7" s="1505">
        <v>0</v>
      </c>
      <c r="M7" s="1505">
        <v>0</v>
      </c>
      <c r="N7" s="1504">
        <f>+D7+E7+F7+G7+H7+I7+J7+K7+L7+M7+C7</f>
        <v>0</v>
      </c>
    </row>
    <row r="8" spans="1:14" ht="15" customHeight="1" thickBot="1">
      <c r="A8" s="1499"/>
      <c r="B8" s="1500" t="s">
        <v>698</v>
      </c>
      <c r="C8" s="1502"/>
      <c r="D8" s="1502"/>
      <c r="E8" s="1502"/>
      <c r="F8" s="1502"/>
      <c r="G8" s="1502"/>
      <c r="H8" s="1502"/>
      <c r="I8" s="1502"/>
      <c r="J8" s="1502"/>
      <c r="K8" s="1502"/>
      <c r="L8" s="1502"/>
      <c r="M8" s="1502"/>
      <c r="N8" s="1500"/>
    </row>
    <row r="9" spans="1:14" ht="15" customHeight="1">
      <c r="A9" s="1503" t="s">
        <v>346</v>
      </c>
      <c r="B9" s="1504" t="s">
        <v>347</v>
      </c>
      <c r="C9" s="1506">
        <f>SUM(C10:C13)</f>
        <v>0</v>
      </c>
      <c r="D9" s="1506">
        <f aca="true" t="shared" si="0" ref="D9:M9">SUM(D10:D13)</f>
        <v>0</v>
      </c>
      <c r="E9" s="1506">
        <f t="shared" si="0"/>
        <v>0</v>
      </c>
      <c r="F9" s="1506">
        <f t="shared" si="0"/>
        <v>0</v>
      </c>
      <c r="G9" s="1506">
        <f t="shared" si="0"/>
        <v>0</v>
      </c>
      <c r="H9" s="1506">
        <f t="shared" si="0"/>
        <v>0</v>
      </c>
      <c r="I9" s="1506">
        <f t="shared" si="0"/>
        <v>0</v>
      </c>
      <c r="J9" s="1506">
        <f t="shared" si="0"/>
        <v>0</v>
      </c>
      <c r="K9" s="1506">
        <f t="shared" si="0"/>
        <v>0</v>
      </c>
      <c r="L9" s="1506">
        <f t="shared" si="0"/>
        <v>0</v>
      </c>
      <c r="M9" s="1506">
        <f t="shared" si="0"/>
        <v>0</v>
      </c>
      <c r="N9" s="1507">
        <f>+D9+E9+F9+G9+H9+I9+J9+K9+L9+M9+C9</f>
        <v>0</v>
      </c>
    </row>
    <row r="10" spans="1:14" ht="15" customHeight="1">
      <c r="A10" s="1493"/>
      <c r="B10" s="1494" t="s">
        <v>348</v>
      </c>
      <c r="C10" s="1495"/>
      <c r="D10" s="1495"/>
      <c r="E10" s="1495"/>
      <c r="F10" s="1495"/>
      <c r="G10" s="1495"/>
      <c r="H10" s="1495"/>
      <c r="I10" s="1495"/>
      <c r="J10" s="1495"/>
      <c r="K10" s="1495"/>
      <c r="L10" s="1495"/>
      <c r="M10" s="1495"/>
      <c r="N10" s="1496"/>
    </row>
    <row r="11" spans="1:14" ht="15" customHeight="1">
      <c r="A11" s="1493"/>
      <c r="B11" s="1494" t="s">
        <v>336</v>
      </c>
      <c r="C11" s="1495"/>
      <c r="D11" s="1495"/>
      <c r="E11" s="1495"/>
      <c r="F11" s="1495"/>
      <c r="G11" s="1495"/>
      <c r="H11" s="1495"/>
      <c r="I11" s="1495"/>
      <c r="J11" s="1495"/>
      <c r="K11" s="1495"/>
      <c r="L11" s="1495"/>
      <c r="M11" s="1495"/>
      <c r="N11" s="1496"/>
    </row>
    <row r="12" spans="1:14" ht="15" customHeight="1">
      <c r="A12" s="1493"/>
      <c r="B12" s="1494" t="s">
        <v>337</v>
      </c>
      <c r="C12" s="1495"/>
      <c r="D12" s="1495"/>
      <c r="E12" s="1495"/>
      <c r="F12" s="1495"/>
      <c r="G12" s="1495"/>
      <c r="H12" s="1495"/>
      <c r="I12" s="1495"/>
      <c r="J12" s="1495"/>
      <c r="K12" s="1495"/>
      <c r="L12" s="1495"/>
      <c r="M12" s="1495"/>
      <c r="N12" s="1496"/>
    </row>
    <row r="13" spans="1:14" ht="15" customHeight="1" thickBot="1">
      <c r="A13" s="1499"/>
      <c r="B13" s="1500" t="s">
        <v>338</v>
      </c>
      <c r="C13" s="1501"/>
      <c r="D13" s="1501"/>
      <c r="E13" s="1501"/>
      <c r="F13" s="1501"/>
      <c r="G13" s="1501"/>
      <c r="H13" s="1501"/>
      <c r="I13" s="1501"/>
      <c r="J13" s="1501"/>
      <c r="K13" s="1501"/>
      <c r="L13" s="1501"/>
      <c r="M13" s="1501"/>
      <c r="N13" s="1508"/>
    </row>
    <row r="14" spans="1:14" ht="15" customHeight="1">
      <c r="A14" s="1509" t="s">
        <v>520</v>
      </c>
      <c r="B14" s="1504" t="s">
        <v>744</v>
      </c>
      <c r="C14" s="1510"/>
      <c r="D14" s="1510"/>
      <c r="E14" s="1511">
        <v>3500000</v>
      </c>
      <c r="F14" s="1511"/>
      <c r="G14" s="1511"/>
      <c r="H14" s="1511"/>
      <c r="I14" s="1511"/>
      <c r="J14" s="1511"/>
      <c r="K14" s="1511"/>
      <c r="L14" s="1511"/>
      <c r="M14" s="1511"/>
      <c r="N14" s="1511">
        <f>+D14+E14+F14+G14+H14+I14+J14+K14+L14+M14+C14</f>
        <v>3500000</v>
      </c>
    </row>
    <row r="15" spans="1:14" ht="15" customHeight="1" thickBot="1">
      <c r="A15" s="1499"/>
      <c r="B15" s="1500" t="s">
        <v>745</v>
      </c>
      <c r="C15" s="1501"/>
      <c r="D15" s="1501"/>
      <c r="E15" s="1508"/>
      <c r="F15" s="1508"/>
      <c r="G15" s="1508"/>
      <c r="H15" s="1508"/>
      <c r="I15" s="1508"/>
      <c r="J15" s="1508"/>
      <c r="K15" s="1508"/>
      <c r="L15" s="1508"/>
      <c r="M15" s="1508"/>
      <c r="N15" s="1508"/>
    </row>
    <row r="16" spans="1:14" ht="15" customHeight="1">
      <c r="A16" s="1512" t="s">
        <v>442</v>
      </c>
      <c r="B16" s="1513" t="s">
        <v>330</v>
      </c>
      <c r="C16" s="1514"/>
      <c r="D16" s="1514"/>
      <c r="E16" s="1514">
        <v>20424600</v>
      </c>
      <c r="F16" s="1514"/>
      <c r="G16" s="1514"/>
      <c r="H16" s="1514"/>
      <c r="I16" s="1514"/>
      <c r="J16" s="1514"/>
      <c r="K16" s="1514"/>
      <c r="L16" s="1514"/>
      <c r="M16" s="1514"/>
      <c r="N16" s="1515">
        <f>+D16+E16+F16+G16+H16+I16+J16+K16+L16+M16+C16</f>
        <v>20424600</v>
      </c>
    </row>
    <row r="17" spans="1:14" ht="15" customHeight="1" thickBot="1">
      <c r="A17" s="1499"/>
      <c r="B17" s="1500" t="s">
        <v>331</v>
      </c>
      <c r="C17" s="1502"/>
      <c r="D17" s="1502"/>
      <c r="E17" s="1502"/>
      <c r="F17" s="1502"/>
      <c r="G17" s="1502"/>
      <c r="H17" s="1502"/>
      <c r="I17" s="1502"/>
      <c r="J17" s="1502"/>
      <c r="K17" s="1502"/>
      <c r="L17" s="1502"/>
      <c r="M17" s="1502"/>
      <c r="N17" s="1500"/>
    </row>
    <row r="18" spans="1:14" ht="15" customHeight="1" thickBot="1">
      <c r="A18" s="1516"/>
      <c r="B18" s="1517" t="s">
        <v>335</v>
      </c>
      <c r="C18" s="1518">
        <f>C2+C7+C9+C14+C16</f>
        <v>30406000</v>
      </c>
      <c r="D18" s="1518">
        <f aca="true" t="shared" si="1" ref="D18:M18">D2+D7+D9+D14+D16</f>
        <v>0</v>
      </c>
      <c r="E18" s="1519">
        <f t="shared" si="1"/>
        <v>23924600</v>
      </c>
      <c r="F18" s="1519">
        <f t="shared" si="1"/>
        <v>0</v>
      </c>
      <c r="G18" s="1519">
        <f t="shared" si="1"/>
        <v>6848006</v>
      </c>
      <c r="H18" s="1519">
        <f t="shared" si="1"/>
        <v>16731726</v>
      </c>
      <c r="I18" s="1519">
        <f t="shared" si="1"/>
        <v>16237540</v>
      </c>
      <c r="J18" s="1519">
        <f t="shared" si="1"/>
        <v>16237540</v>
      </c>
      <c r="K18" s="1519">
        <f t="shared" si="1"/>
        <v>19555646</v>
      </c>
      <c r="L18" s="1519">
        <f t="shared" si="1"/>
        <v>15851000</v>
      </c>
      <c r="M18" s="1519">
        <f t="shared" si="1"/>
        <v>53510000</v>
      </c>
      <c r="N18" s="1519">
        <f>N2+N7+N9+N14+N16</f>
        <v>199302058</v>
      </c>
    </row>
    <row r="19" spans="1:14" ht="15.75">
      <c r="A19" s="1520"/>
      <c r="B19" s="1520"/>
      <c r="C19" s="1520"/>
      <c r="D19" s="1520"/>
      <c r="E19" s="1520"/>
      <c r="F19" s="1520"/>
      <c r="G19" s="1520"/>
      <c r="H19" s="1520"/>
      <c r="I19" s="1520"/>
      <c r="J19" s="1520"/>
      <c r="K19" s="1520"/>
      <c r="L19" s="1520"/>
      <c r="M19" s="1520"/>
      <c r="N19" s="1520"/>
    </row>
    <row r="20" spans="1:14" ht="15.75">
      <c r="A20" s="1520"/>
      <c r="B20" s="1520"/>
      <c r="C20" s="1520"/>
      <c r="D20" s="1520"/>
      <c r="E20" s="1520"/>
      <c r="F20" s="1520"/>
      <c r="G20" s="1520"/>
      <c r="H20" s="1520"/>
      <c r="I20" s="1520"/>
      <c r="J20" s="1520"/>
      <c r="K20" s="1520"/>
      <c r="L20" s="1520"/>
      <c r="M20" s="1520"/>
      <c r="N20" s="1520"/>
    </row>
    <row r="21" spans="1:14" ht="15.75">
      <c r="A21" s="1520"/>
      <c r="B21" s="1520"/>
      <c r="C21" s="1520"/>
      <c r="D21" s="1520"/>
      <c r="E21" s="1520"/>
      <c r="F21" s="1520"/>
      <c r="G21" s="1520"/>
      <c r="H21" s="1520"/>
      <c r="I21" s="1520"/>
      <c r="J21" s="1520"/>
      <c r="K21" s="1520"/>
      <c r="L21" s="1520"/>
      <c r="M21" s="1520"/>
      <c r="N21" s="1520"/>
    </row>
  </sheetData>
  <sheetProtection/>
  <printOptions/>
  <pageMargins left="0.7874015748031497" right="0.7874015748031497" top="1.3779527559055118" bottom="0.984251968503937" header="0.5118110236220472" footer="0.5118110236220472"/>
  <pageSetup fitToHeight="1" fitToWidth="1" orientation="landscape" paperSize="9" scale="58" r:id="rId1"/>
  <headerFooter alignWithMargins="0">
    <oddHeader>&amp;LTÁJÉKOZTATÓ TÁBLA!&amp;C&amp;"Times New Roman,Normál"
INTÉZMÉNYEK ÁLTAL NYÚJTOTT 2017. ÉVI KÖZVETETT TÁMOGATÁSOK (Ft-ban)&amp;R&amp;"Times New Roman,Normál"4.24. sz. melléklet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Munka62"/>
  <dimension ref="A1:AC40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4.00390625" style="20" customWidth="1"/>
    <col min="2" max="2" width="8.7109375" style="20" customWidth="1"/>
    <col min="3" max="5" width="7.140625" style="20" customWidth="1"/>
    <col min="6" max="6" width="8.140625" style="20" customWidth="1"/>
    <col min="7" max="7" width="7.140625" style="20" customWidth="1"/>
    <col min="8" max="8" width="7.8515625" style="20" customWidth="1"/>
    <col min="9" max="11" width="7.140625" style="20" customWidth="1"/>
    <col min="12" max="12" width="8.140625" style="20" customWidth="1"/>
    <col min="13" max="14" width="7.140625" style="20" customWidth="1"/>
    <col min="15" max="15" width="40.421875" style="20" customWidth="1"/>
    <col min="16" max="16" width="8.140625" style="20" customWidth="1"/>
    <col min="17" max="28" width="7.140625" style="20" customWidth="1"/>
    <col min="29" max="29" width="3.57421875" style="20" hidden="1" customWidth="1"/>
    <col min="30" max="31" width="0" style="20" hidden="1" customWidth="1"/>
    <col min="32" max="16384" width="9.140625" style="20" customWidth="1"/>
  </cols>
  <sheetData>
    <row r="1" spans="1:28" ht="11.25" thickBot="1">
      <c r="A1" s="16" t="s">
        <v>425</v>
      </c>
      <c r="B1" s="58" t="s">
        <v>426</v>
      </c>
      <c r="C1" s="17">
        <v>2002</v>
      </c>
      <c r="D1" s="17">
        <v>2002</v>
      </c>
      <c r="E1" s="17">
        <v>2002</v>
      </c>
      <c r="F1" s="17">
        <v>2002</v>
      </c>
      <c r="G1" s="17">
        <v>2002</v>
      </c>
      <c r="H1" s="17">
        <v>2002</v>
      </c>
      <c r="I1" s="17">
        <v>2002</v>
      </c>
      <c r="J1" s="17">
        <v>2002</v>
      </c>
      <c r="K1" s="17">
        <v>2002</v>
      </c>
      <c r="L1" s="17">
        <v>2002</v>
      </c>
      <c r="M1" s="17">
        <v>2002</v>
      </c>
      <c r="N1" s="18">
        <v>2002</v>
      </c>
      <c r="O1" s="19"/>
      <c r="P1" s="58" t="s">
        <v>428</v>
      </c>
      <c r="Q1" s="17">
        <v>2002</v>
      </c>
      <c r="R1" s="17">
        <v>2002</v>
      </c>
      <c r="S1" s="17">
        <v>2002</v>
      </c>
      <c r="T1" s="17">
        <v>2002</v>
      </c>
      <c r="U1" s="17">
        <v>2002</v>
      </c>
      <c r="V1" s="17">
        <v>2002</v>
      </c>
      <c r="W1" s="17">
        <v>2002</v>
      </c>
      <c r="X1" s="17">
        <v>2002</v>
      </c>
      <c r="Y1" s="17">
        <v>2002</v>
      </c>
      <c r="Z1" s="17">
        <v>2002</v>
      </c>
      <c r="AA1" s="17">
        <v>2002</v>
      </c>
      <c r="AB1" s="18">
        <v>2002</v>
      </c>
    </row>
    <row r="2" spans="1:28" ht="11.25" thickBot="1">
      <c r="A2" s="21"/>
      <c r="B2" s="59" t="s">
        <v>41</v>
      </c>
      <c r="C2" s="22" t="s">
        <v>42</v>
      </c>
      <c r="D2" s="22" t="s">
        <v>43</v>
      </c>
      <c r="E2" s="22" t="s">
        <v>700</v>
      </c>
      <c r="F2" s="22" t="s">
        <v>701</v>
      </c>
      <c r="G2" s="22" t="s">
        <v>702</v>
      </c>
      <c r="H2" s="22" t="s">
        <v>703</v>
      </c>
      <c r="I2" s="22" t="s">
        <v>704</v>
      </c>
      <c r="J2" s="22" t="s">
        <v>705</v>
      </c>
      <c r="K2" s="22" t="s">
        <v>706</v>
      </c>
      <c r="L2" s="22" t="s">
        <v>707</v>
      </c>
      <c r="M2" s="22" t="s">
        <v>708</v>
      </c>
      <c r="N2" s="23" t="s">
        <v>709</v>
      </c>
      <c r="O2" s="24" t="s">
        <v>427</v>
      </c>
      <c r="P2" s="59" t="s">
        <v>41</v>
      </c>
      <c r="Q2" s="22" t="s">
        <v>42</v>
      </c>
      <c r="R2" s="22" t="s">
        <v>43</v>
      </c>
      <c r="S2" s="22" t="s">
        <v>700</v>
      </c>
      <c r="T2" s="22" t="s">
        <v>701</v>
      </c>
      <c r="U2" s="22" t="s">
        <v>702</v>
      </c>
      <c r="V2" s="22" t="s">
        <v>703</v>
      </c>
      <c r="W2" s="22" t="s">
        <v>704</v>
      </c>
      <c r="X2" s="22" t="s">
        <v>705</v>
      </c>
      <c r="Y2" s="22" t="s">
        <v>706</v>
      </c>
      <c r="Z2" s="22" t="s">
        <v>707</v>
      </c>
      <c r="AA2" s="22" t="s">
        <v>708</v>
      </c>
      <c r="AB2" s="23" t="s">
        <v>709</v>
      </c>
    </row>
    <row r="3" spans="1:28" ht="10.5">
      <c r="A3" s="25" t="s">
        <v>429</v>
      </c>
      <c r="B3" s="60">
        <f aca="true" t="shared" si="0" ref="B3:N3">SUM(B5:B11)</f>
        <v>1147735</v>
      </c>
      <c r="C3" s="26">
        <f t="shared" si="0"/>
        <v>180249</v>
      </c>
      <c r="D3" s="26">
        <f t="shared" si="0"/>
        <v>83132</v>
      </c>
      <c r="E3" s="26">
        <f t="shared" si="0"/>
        <v>82641</v>
      </c>
      <c r="F3" s="26">
        <f t="shared" si="0"/>
        <v>91641</v>
      </c>
      <c r="G3" s="26">
        <f t="shared" si="0"/>
        <v>83132</v>
      </c>
      <c r="H3" s="26">
        <f t="shared" si="0"/>
        <v>87965</v>
      </c>
      <c r="I3" s="26">
        <f t="shared" si="0"/>
        <v>87965</v>
      </c>
      <c r="J3" s="26">
        <f t="shared" si="0"/>
        <v>88456</v>
      </c>
      <c r="K3" s="26">
        <f t="shared" si="0"/>
        <v>98168</v>
      </c>
      <c r="L3" s="26">
        <f t="shared" si="0"/>
        <v>87964</v>
      </c>
      <c r="M3" s="26">
        <f t="shared" si="0"/>
        <v>88458</v>
      </c>
      <c r="N3" s="26">
        <f t="shared" si="0"/>
        <v>87964</v>
      </c>
      <c r="O3" s="25" t="s">
        <v>14</v>
      </c>
      <c r="P3" s="68">
        <f>SUM(P4:P7)</f>
        <v>5609333</v>
      </c>
      <c r="Q3" s="26">
        <f>SUM(Q4:Q7)</f>
        <v>479531</v>
      </c>
      <c r="R3" s="26">
        <f aca="true" t="shared" si="1" ref="R3:AB3">SUM(R4:R7)</f>
        <v>353930</v>
      </c>
      <c r="S3" s="26">
        <f t="shared" si="1"/>
        <v>353925</v>
      </c>
      <c r="T3" s="26">
        <f t="shared" si="1"/>
        <v>561011</v>
      </c>
      <c r="U3" s="26">
        <f t="shared" si="1"/>
        <v>414944</v>
      </c>
      <c r="V3" s="26">
        <f t="shared" si="1"/>
        <v>437070</v>
      </c>
      <c r="W3" s="26">
        <f t="shared" si="1"/>
        <v>478271</v>
      </c>
      <c r="X3" s="26">
        <f t="shared" si="1"/>
        <v>432470</v>
      </c>
      <c r="Y3" s="26">
        <f t="shared" si="1"/>
        <v>426982</v>
      </c>
      <c r="Z3" s="26">
        <f t="shared" si="1"/>
        <v>716470</v>
      </c>
      <c r="AA3" s="26">
        <f t="shared" si="1"/>
        <v>464668</v>
      </c>
      <c r="AB3" s="26">
        <f t="shared" si="1"/>
        <v>490061</v>
      </c>
    </row>
    <row r="4" spans="1:29" ht="10.5">
      <c r="A4" s="27" t="s">
        <v>430</v>
      </c>
      <c r="B4" s="61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7" t="s">
        <v>15</v>
      </c>
      <c r="P4" s="69">
        <f>SUM(Q4:AB4)</f>
        <v>2424652</v>
      </c>
      <c r="Q4" s="28">
        <v>280588</v>
      </c>
      <c r="R4" s="28">
        <v>186047</v>
      </c>
      <c r="S4" s="28">
        <v>186042</v>
      </c>
      <c r="T4" s="19">
        <v>204863</v>
      </c>
      <c r="U4" s="27">
        <v>186681</v>
      </c>
      <c r="V4" s="27">
        <v>196050</v>
      </c>
      <c r="W4" s="27">
        <v>196050</v>
      </c>
      <c r="X4" s="27">
        <v>196050</v>
      </c>
      <c r="Y4" s="27">
        <v>196050</v>
      </c>
      <c r="Z4" s="28">
        <v>205411</v>
      </c>
      <c r="AA4" s="28">
        <v>195410</v>
      </c>
      <c r="AB4" s="28">
        <v>195410</v>
      </c>
      <c r="AC4" s="20">
        <v>639</v>
      </c>
    </row>
    <row r="5" spans="1:29" ht="10.5">
      <c r="A5" s="27" t="s">
        <v>431</v>
      </c>
      <c r="B5" s="61">
        <f>SUM(C5:N5)</f>
        <v>51316</v>
      </c>
      <c r="C5" s="28">
        <v>8552</v>
      </c>
      <c r="D5" s="28">
        <v>3888</v>
      </c>
      <c r="E5" s="28">
        <v>3888</v>
      </c>
      <c r="F5" s="28">
        <v>3888</v>
      </c>
      <c r="G5" s="28">
        <v>3888</v>
      </c>
      <c r="H5" s="28">
        <v>3888</v>
      </c>
      <c r="I5" s="28">
        <v>3888</v>
      </c>
      <c r="J5" s="28">
        <v>3888</v>
      </c>
      <c r="K5" s="28">
        <v>3888</v>
      </c>
      <c r="L5" s="28">
        <v>3887</v>
      </c>
      <c r="M5" s="28">
        <v>3887</v>
      </c>
      <c r="N5" s="28">
        <v>3886</v>
      </c>
      <c r="O5" s="27" t="s">
        <v>406</v>
      </c>
      <c r="P5" s="69">
        <f aca="true" t="shared" si="2" ref="P5:P11">SUM(Q5:AB5)</f>
        <v>876966</v>
      </c>
      <c r="Q5" s="28">
        <v>100578</v>
      </c>
      <c r="R5" s="28">
        <v>66638</v>
      </c>
      <c r="S5" s="28">
        <v>66638</v>
      </c>
      <c r="T5" s="19">
        <v>73375</v>
      </c>
      <c r="U5" s="27">
        <v>66832</v>
      </c>
      <c r="V5" s="27">
        <v>71498</v>
      </c>
      <c r="W5" s="27">
        <v>71497</v>
      </c>
      <c r="X5" s="27">
        <v>71497</v>
      </c>
      <c r="Y5" s="27">
        <v>71499</v>
      </c>
      <c r="Z5" s="28">
        <v>74301</v>
      </c>
      <c r="AA5" s="28">
        <v>71305</v>
      </c>
      <c r="AB5" s="28">
        <v>71308</v>
      </c>
      <c r="AC5" s="20">
        <v>194</v>
      </c>
    </row>
    <row r="6" spans="1:29" ht="10.5">
      <c r="A6" s="27" t="s">
        <v>678</v>
      </c>
      <c r="B6" s="61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7" t="s">
        <v>407</v>
      </c>
      <c r="P6" s="69">
        <f>SUM(Q6:AB6)</f>
        <v>1799609</v>
      </c>
      <c r="Q6" s="28">
        <v>77145</v>
      </c>
      <c r="R6" s="28">
        <v>80025</v>
      </c>
      <c r="S6" s="28">
        <v>80025</v>
      </c>
      <c r="T6" s="19">
        <v>231990</v>
      </c>
      <c r="U6" s="28">
        <v>131065</v>
      </c>
      <c r="V6" s="28">
        <v>121992</v>
      </c>
      <c r="W6" s="28">
        <v>163194</v>
      </c>
      <c r="X6" s="28">
        <v>126539</v>
      </c>
      <c r="Y6" s="28">
        <v>121049</v>
      </c>
      <c r="Z6" s="28">
        <v>381397</v>
      </c>
      <c r="AA6" s="28">
        <v>142594</v>
      </c>
      <c r="AB6" s="28">
        <v>142594</v>
      </c>
      <c r="AC6" s="20">
        <v>196</v>
      </c>
    </row>
    <row r="7" spans="1:28" ht="10.5">
      <c r="A7" s="27" t="s">
        <v>679</v>
      </c>
      <c r="B7" s="61">
        <f>SUM(C7:N7)</f>
        <v>999941</v>
      </c>
      <c r="C7" s="28">
        <v>170397</v>
      </c>
      <c r="D7" s="28">
        <v>77453</v>
      </c>
      <c r="E7" s="28">
        <v>77453</v>
      </c>
      <c r="F7" s="28">
        <v>77453</v>
      </c>
      <c r="G7" s="28">
        <v>77453</v>
      </c>
      <c r="H7" s="28">
        <v>74247</v>
      </c>
      <c r="I7" s="28">
        <v>74247</v>
      </c>
      <c r="J7" s="28">
        <v>74247</v>
      </c>
      <c r="K7" s="28">
        <v>74247</v>
      </c>
      <c r="L7" s="28">
        <v>74247</v>
      </c>
      <c r="M7" s="28">
        <v>74249</v>
      </c>
      <c r="N7" s="28">
        <v>74248</v>
      </c>
      <c r="O7" s="29" t="s">
        <v>680</v>
      </c>
      <c r="P7" s="69">
        <f t="shared" si="2"/>
        <v>508106</v>
      </c>
      <c r="Q7" s="28">
        <v>21220</v>
      </c>
      <c r="R7" s="28">
        <v>21220</v>
      </c>
      <c r="S7" s="28">
        <v>21220</v>
      </c>
      <c r="T7" s="28">
        <v>50783</v>
      </c>
      <c r="U7" s="28">
        <v>30366</v>
      </c>
      <c r="V7" s="28">
        <v>47530</v>
      </c>
      <c r="W7" s="28">
        <v>47530</v>
      </c>
      <c r="X7" s="28">
        <v>38384</v>
      </c>
      <c r="Y7" s="28">
        <v>38384</v>
      </c>
      <c r="Z7" s="28">
        <v>55361</v>
      </c>
      <c r="AA7" s="28">
        <v>55359</v>
      </c>
      <c r="AB7" s="28">
        <v>80749</v>
      </c>
    </row>
    <row r="8" spans="1:28" ht="10.5">
      <c r="A8" s="27" t="s">
        <v>681</v>
      </c>
      <c r="B8" s="61">
        <f>SUM(C8:N8)</f>
        <v>1965</v>
      </c>
      <c r="C8" s="28"/>
      <c r="D8" s="28">
        <v>491</v>
      </c>
      <c r="E8" s="28"/>
      <c r="F8" s="28"/>
      <c r="G8" s="28">
        <v>491</v>
      </c>
      <c r="H8" s="28"/>
      <c r="I8" s="28"/>
      <c r="J8" s="28">
        <v>491</v>
      </c>
      <c r="K8" s="28"/>
      <c r="L8" s="28"/>
      <c r="M8" s="28">
        <v>492</v>
      </c>
      <c r="N8" s="28"/>
      <c r="O8" s="27" t="s">
        <v>682</v>
      </c>
      <c r="P8" s="69">
        <f t="shared" si="2"/>
        <v>310323</v>
      </c>
      <c r="Q8" s="28">
        <v>21218</v>
      </c>
      <c r="R8" s="28">
        <v>21218</v>
      </c>
      <c r="S8" s="28">
        <v>21218</v>
      </c>
      <c r="T8" s="19">
        <v>18545</v>
      </c>
      <c r="U8" s="28">
        <v>21218</v>
      </c>
      <c r="V8" s="28">
        <v>25932</v>
      </c>
      <c r="W8" s="28">
        <v>25932</v>
      </c>
      <c r="X8" s="28">
        <v>25932</v>
      </c>
      <c r="Y8" s="28">
        <v>25932</v>
      </c>
      <c r="Z8" s="28">
        <v>25934</v>
      </c>
      <c r="AA8" s="28">
        <v>25932</v>
      </c>
      <c r="AB8" s="28">
        <v>51312</v>
      </c>
    </row>
    <row r="9" spans="1:28" ht="10.5">
      <c r="A9" s="27" t="s">
        <v>683</v>
      </c>
      <c r="B9" s="61">
        <f>SUM(C9:N9)</f>
        <v>34103</v>
      </c>
      <c r="C9" s="28">
        <v>1300</v>
      </c>
      <c r="D9" s="28">
        <v>1300</v>
      </c>
      <c r="E9" s="28">
        <v>1300</v>
      </c>
      <c r="F9" s="28">
        <v>10300</v>
      </c>
      <c r="G9" s="28">
        <v>1300</v>
      </c>
      <c r="H9" s="28">
        <v>1200</v>
      </c>
      <c r="I9" s="28">
        <v>1200</v>
      </c>
      <c r="J9" s="28">
        <v>1200</v>
      </c>
      <c r="K9" s="28">
        <v>11403</v>
      </c>
      <c r="L9" s="28">
        <v>1200</v>
      </c>
      <c r="M9" s="28">
        <v>1200</v>
      </c>
      <c r="N9" s="28">
        <v>1200</v>
      </c>
      <c r="O9" s="27" t="s">
        <v>423</v>
      </c>
      <c r="P9" s="69">
        <f>SUM(Q9:AB9)</f>
        <v>86031</v>
      </c>
      <c r="Q9" s="28"/>
      <c r="R9" s="28"/>
      <c r="S9" s="28"/>
      <c r="T9" s="19">
        <v>21236</v>
      </c>
      <c r="U9" s="28">
        <v>6396</v>
      </c>
      <c r="V9" s="28">
        <v>7600</v>
      </c>
      <c r="W9" s="28">
        <v>7600</v>
      </c>
      <c r="X9" s="28">
        <v>1204</v>
      </c>
      <c r="Y9" s="28">
        <v>1204</v>
      </c>
      <c r="Z9" s="28">
        <v>13597</v>
      </c>
      <c r="AA9" s="28">
        <v>13597</v>
      </c>
      <c r="AB9" s="28">
        <v>13597</v>
      </c>
    </row>
    <row r="10" spans="1:28" ht="10.5">
      <c r="A10" s="27" t="s">
        <v>710</v>
      </c>
      <c r="B10" s="61">
        <f>SUM(C10:N10)</f>
        <v>60410</v>
      </c>
      <c r="C10" s="28"/>
      <c r="D10" s="28"/>
      <c r="E10" s="28"/>
      <c r="F10" s="28"/>
      <c r="G10" s="28"/>
      <c r="H10" s="28">
        <v>8630</v>
      </c>
      <c r="I10" s="28">
        <v>8630</v>
      </c>
      <c r="J10" s="28">
        <v>8630</v>
      </c>
      <c r="K10" s="28">
        <v>8630</v>
      </c>
      <c r="L10" s="28">
        <v>8630</v>
      </c>
      <c r="M10" s="28">
        <v>8630</v>
      </c>
      <c r="N10" s="28">
        <v>8630</v>
      </c>
      <c r="O10" s="27" t="s">
        <v>246</v>
      </c>
      <c r="P10" s="69">
        <f t="shared" si="2"/>
        <v>96233</v>
      </c>
      <c r="Q10" s="28"/>
      <c r="R10" s="28"/>
      <c r="S10" s="28"/>
      <c r="T10" s="28">
        <v>6003</v>
      </c>
      <c r="U10" s="28">
        <v>1503</v>
      </c>
      <c r="V10" s="28">
        <v>12676</v>
      </c>
      <c r="W10" s="28">
        <v>12676</v>
      </c>
      <c r="X10" s="28">
        <v>11173</v>
      </c>
      <c r="Y10" s="28">
        <v>11173</v>
      </c>
      <c r="Z10" s="28">
        <v>13676</v>
      </c>
      <c r="AA10" s="28">
        <v>13676</v>
      </c>
      <c r="AB10" s="28">
        <v>13677</v>
      </c>
    </row>
    <row r="11" spans="1:28" ht="10.5">
      <c r="A11" s="27"/>
      <c r="B11" s="61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7" t="s">
        <v>271</v>
      </c>
      <c r="P11" s="69">
        <f t="shared" si="2"/>
        <v>15519</v>
      </c>
      <c r="Q11" s="28"/>
      <c r="R11" s="28"/>
      <c r="S11" s="28"/>
      <c r="T11" s="28">
        <v>5000</v>
      </c>
      <c r="U11" s="28">
        <v>1250</v>
      </c>
      <c r="V11" s="28">
        <v>1324</v>
      </c>
      <c r="W11" s="28">
        <v>1324</v>
      </c>
      <c r="X11" s="28"/>
      <c r="Y11" s="28"/>
      <c r="Z11" s="28">
        <v>2231</v>
      </c>
      <c r="AA11" s="28">
        <v>2231</v>
      </c>
      <c r="AB11" s="28">
        <v>2159</v>
      </c>
    </row>
    <row r="12" spans="1:28" ht="10.5">
      <c r="A12" s="27"/>
      <c r="B12" s="61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7"/>
      <c r="P12" s="61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ht="10.5">
      <c r="A13" s="25" t="s">
        <v>272</v>
      </c>
      <c r="B13" s="60">
        <f aca="true" t="shared" si="3" ref="B13:N13">SUM(B14:B16)</f>
        <v>1108593</v>
      </c>
      <c r="C13" s="26">
        <f t="shared" si="3"/>
        <v>191638</v>
      </c>
      <c r="D13" s="26">
        <f t="shared" si="3"/>
        <v>50692</v>
      </c>
      <c r="E13" s="26">
        <f t="shared" si="3"/>
        <v>110192</v>
      </c>
      <c r="F13" s="26">
        <f t="shared" si="3"/>
        <v>130807</v>
      </c>
      <c r="G13" s="26">
        <f t="shared" si="3"/>
        <v>50692</v>
      </c>
      <c r="H13" s="26">
        <f t="shared" si="3"/>
        <v>50692</v>
      </c>
      <c r="I13" s="26">
        <f t="shared" si="3"/>
        <v>130806</v>
      </c>
      <c r="J13" s="26">
        <f t="shared" si="3"/>
        <v>50692</v>
      </c>
      <c r="K13" s="26">
        <f t="shared" si="3"/>
        <v>110192</v>
      </c>
      <c r="L13" s="26">
        <f t="shared" si="3"/>
        <v>130806</v>
      </c>
      <c r="M13" s="26">
        <f t="shared" si="3"/>
        <v>50692</v>
      </c>
      <c r="N13" s="26">
        <f t="shared" si="3"/>
        <v>50692</v>
      </c>
      <c r="O13" s="25" t="s">
        <v>324</v>
      </c>
      <c r="P13" s="68">
        <f>SUM(P14:Q16)</f>
        <v>1122938</v>
      </c>
      <c r="Q13" s="26"/>
      <c r="R13" s="26"/>
      <c r="S13" s="26"/>
      <c r="T13" s="26">
        <f aca="true" t="shared" si="4" ref="T13:AB13">SUM(T14:T16)</f>
        <v>174501</v>
      </c>
      <c r="U13" s="26">
        <f t="shared" si="4"/>
        <v>143286</v>
      </c>
      <c r="V13" s="26">
        <f t="shared" si="4"/>
        <v>146058</v>
      </c>
      <c r="W13" s="26">
        <f t="shared" si="4"/>
        <v>175370</v>
      </c>
      <c r="X13" s="26">
        <f t="shared" si="4"/>
        <v>164060</v>
      </c>
      <c r="Y13" s="26">
        <f t="shared" si="4"/>
        <v>86064</v>
      </c>
      <c r="Z13" s="26">
        <f t="shared" si="4"/>
        <v>120848</v>
      </c>
      <c r="AA13" s="26">
        <f t="shared" si="4"/>
        <v>89970</v>
      </c>
      <c r="AB13" s="26">
        <f t="shared" si="4"/>
        <v>22781</v>
      </c>
    </row>
    <row r="14" spans="1:28" ht="10.5">
      <c r="A14" s="27" t="s">
        <v>273</v>
      </c>
      <c r="B14" s="61">
        <f>SUM(C14:N14)</f>
        <v>669135</v>
      </c>
      <c r="C14" s="28">
        <v>111523</v>
      </c>
      <c r="D14" s="28">
        <v>50692</v>
      </c>
      <c r="E14" s="28">
        <v>50692</v>
      </c>
      <c r="F14" s="28">
        <v>50692</v>
      </c>
      <c r="G14" s="28">
        <v>50692</v>
      </c>
      <c r="H14" s="28">
        <v>50692</v>
      </c>
      <c r="I14" s="28">
        <v>50692</v>
      </c>
      <c r="J14" s="28">
        <v>50692</v>
      </c>
      <c r="K14" s="28">
        <v>50692</v>
      </c>
      <c r="L14" s="28">
        <v>50692</v>
      </c>
      <c r="M14" s="28">
        <v>50692</v>
      </c>
      <c r="N14" s="28">
        <v>50692</v>
      </c>
      <c r="O14" s="27" t="s">
        <v>274</v>
      </c>
      <c r="P14" s="69">
        <f>SUM(Q14:AB14)</f>
        <v>363208</v>
      </c>
      <c r="Q14" s="28"/>
      <c r="R14" s="28"/>
      <c r="S14" s="28"/>
      <c r="T14" s="19">
        <v>42788</v>
      </c>
      <c r="U14" s="28">
        <v>40759</v>
      </c>
      <c r="V14" s="28">
        <v>51549</v>
      </c>
      <c r="W14" s="28">
        <v>51553</v>
      </c>
      <c r="X14" s="28">
        <v>49552</v>
      </c>
      <c r="Y14" s="28">
        <v>43540</v>
      </c>
      <c r="Z14" s="28">
        <v>36337</v>
      </c>
      <c r="AA14" s="28">
        <v>36336</v>
      </c>
      <c r="AB14" s="28">
        <v>10794</v>
      </c>
    </row>
    <row r="15" spans="1:28" ht="10.5">
      <c r="A15" s="27" t="s">
        <v>690</v>
      </c>
      <c r="B15" s="61">
        <f>SUM(C15:N15)</f>
        <v>320458</v>
      </c>
      <c r="C15" s="28">
        <v>80115</v>
      </c>
      <c r="D15" s="28"/>
      <c r="E15" s="28"/>
      <c r="F15" s="28">
        <v>80115</v>
      </c>
      <c r="G15" s="28"/>
      <c r="H15" s="28"/>
      <c r="I15" s="28">
        <v>80114</v>
      </c>
      <c r="J15" s="28"/>
      <c r="K15" s="28"/>
      <c r="L15" s="28">
        <v>80114</v>
      </c>
      <c r="M15" s="28"/>
      <c r="N15" s="28"/>
      <c r="O15" s="27"/>
      <c r="P15" s="69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</row>
    <row r="16" spans="1:28" ht="10.5">
      <c r="A16" s="27" t="s">
        <v>691</v>
      </c>
      <c r="B16" s="61">
        <f>SUM(C16:N16)</f>
        <v>119000</v>
      </c>
      <c r="C16" s="28"/>
      <c r="D16" s="28"/>
      <c r="E16" s="28">
        <v>59500</v>
      </c>
      <c r="F16" s="28"/>
      <c r="G16" s="28"/>
      <c r="H16" s="28"/>
      <c r="I16" s="28"/>
      <c r="J16" s="28"/>
      <c r="K16" s="28">
        <v>59500</v>
      </c>
      <c r="L16" s="28"/>
      <c r="M16" s="28"/>
      <c r="N16" s="28"/>
      <c r="O16" s="27" t="s">
        <v>325</v>
      </c>
      <c r="P16" s="69">
        <f>SUM(Q16:AB16)</f>
        <v>759730</v>
      </c>
      <c r="Q16" s="28"/>
      <c r="R16" s="28"/>
      <c r="S16" s="28"/>
      <c r="T16" s="19">
        <v>131713</v>
      </c>
      <c r="U16" s="28">
        <v>102527</v>
      </c>
      <c r="V16" s="28">
        <v>94509</v>
      </c>
      <c r="W16" s="28">
        <v>123817</v>
      </c>
      <c r="X16" s="28">
        <v>114508</v>
      </c>
      <c r="Y16" s="28">
        <v>42524</v>
      </c>
      <c r="Z16" s="28">
        <v>84511</v>
      </c>
      <c r="AA16" s="28">
        <v>53634</v>
      </c>
      <c r="AB16" s="28">
        <v>11987</v>
      </c>
    </row>
    <row r="17" spans="1:28" ht="10.5">
      <c r="A17" s="27"/>
      <c r="B17" s="61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7"/>
      <c r="P17" s="70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pans="1:28" ht="10.5">
      <c r="A18" s="25" t="s">
        <v>393</v>
      </c>
      <c r="B18" s="62">
        <f>SUM(C18:N18)</f>
        <v>1977470</v>
      </c>
      <c r="C18" s="26">
        <v>20000</v>
      </c>
      <c r="D18" s="26">
        <v>20000</v>
      </c>
      <c r="E18" s="26">
        <v>20000</v>
      </c>
      <c r="F18" s="26">
        <v>888735</v>
      </c>
      <c r="G18" s="26">
        <v>20000</v>
      </c>
      <c r="H18" s="26">
        <v>20000</v>
      </c>
      <c r="I18" s="26">
        <v>20000</v>
      </c>
      <c r="J18" s="26">
        <v>20000</v>
      </c>
      <c r="K18" s="26">
        <v>20000</v>
      </c>
      <c r="L18" s="26">
        <v>888735</v>
      </c>
      <c r="M18" s="26">
        <v>20000</v>
      </c>
      <c r="N18" s="26">
        <v>20000</v>
      </c>
      <c r="O18" s="27"/>
      <c r="P18" s="70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1:28" ht="10.5">
      <c r="A19" s="27"/>
      <c r="B19" s="61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5" t="s">
        <v>326</v>
      </c>
      <c r="P19" s="60">
        <f>SUM(P21:P21)</f>
        <v>9800</v>
      </c>
      <c r="Q19" s="28"/>
      <c r="R19" s="28"/>
      <c r="S19" s="28">
        <v>2450</v>
      </c>
      <c r="T19" s="28"/>
      <c r="U19" s="28"/>
      <c r="V19" s="28">
        <v>2450</v>
      </c>
      <c r="W19" s="28"/>
      <c r="X19" s="28"/>
      <c r="Y19" s="28">
        <v>2450</v>
      </c>
      <c r="Z19" s="28"/>
      <c r="AA19" s="28"/>
      <c r="AB19" s="28">
        <v>2450</v>
      </c>
    </row>
    <row r="20" spans="1:28" ht="10.5">
      <c r="A20" s="25" t="s">
        <v>394</v>
      </c>
      <c r="B20" s="60">
        <f aca="true" t="shared" si="5" ref="B20:N20">+B21+B24</f>
        <v>863157</v>
      </c>
      <c r="C20" s="26">
        <f t="shared" si="5"/>
        <v>70981</v>
      </c>
      <c r="D20" s="26">
        <f t="shared" si="5"/>
        <v>70980</v>
      </c>
      <c r="E20" s="26">
        <f t="shared" si="5"/>
        <v>70980</v>
      </c>
      <c r="F20" s="26">
        <f t="shared" si="5"/>
        <v>70980</v>
      </c>
      <c r="G20" s="26">
        <f t="shared" si="5"/>
        <v>70980</v>
      </c>
      <c r="H20" s="26">
        <f t="shared" si="5"/>
        <v>72322</v>
      </c>
      <c r="I20" s="26">
        <f t="shared" si="5"/>
        <v>72322</v>
      </c>
      <c r="J20" s="26">
        <f t="shared" si="5"/>
        <v>74321</v>
      </c>
      <c r="K20" s="26">
        <f t="shared" si="5"/>
        <v>72322</v>
      </c>
      <c r="L20" s="26">
        <f t="shared" si="5"/>
        <v>72321</v>
      </c>
      <c r="M20" s="26">
        <f t="shared" si="5"/>
        <v>72323</v>
      </c>
      <c r="N20" s="26">
        <f t="shared" si="5"/>
        <v>72325</v>
      </c>
      <c r="O20" s="25"/>
      <c r="P20" s="70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28" ht="10.5">
      <c r="A21" s="27" t="s">
        <v>395</v>
      </c>
      <c r="B21" s="61">
        <f>SUM(C21:N21)</f>
        <v>504767</v>
      </c>
      <c r="C21" s="28">
        <v>41516</v>
      </c>
      <c r="D21" s="28">
        <v>41516</v>
      </c>
      <c r="E21" s="28">
        <v>41516</v>
      </c>
      <c r="F21" s="28">
        <v>41516</v>
      </c>
      <c r="G21" s="28">
        <v>41516</v>
      </c>
      <c r="H21" s="28">
        <v>42455</v>
      </c>
      <c r="I21" s="28">
        <v>42455</v>
      </c>
      <c r="J21" s="28">
        <v>42455</v>
      </c>
      <c r="K21" s="28">
        <v>42455</v>
      </c>
      <c r="L21" s="28">
        <v>42454</v>
      </c>
      <c r="M21" s="28">
        <v>42456</v>
      </c>
      <c r="N21" s="28">
        <v>42457</v>
      </c>
      <c r="O21" s="27" t="s">
        <v>420</v>
      </c>
      <c r="P21" s="69">
        <f>SUM(Q21:AB21)</f>
        <v>9800</v>
      </c>
      <c r="Q21" s="28"/>
      <c r="R21" s="28"/>
      <c r="S21" s="28">
        <v>2450</v>
      </c>
      <c r="T21" s="28"/>
      <c r="U21" s="28"/>
      <c r="V21" s="28">
        <v>2450</v>
      </c>
      <c r="W21" s="28"/>
      <c r="X21" s="28"/>
      <c r="Y21" s="28">
        <v>2450</v>
      </c>
      <c r="Z21" s="28"/>
      <c r="AA21" s="28"/>
      <c r="AB21" s="28">
        <v>2450</v>
      </c>
    </row>
    <row r="22" spans="1:28" ht="10.5">
      <c r="A22" s="27" t="s">
        <v>452</v>
      </c>
      <c r="B22" s="61">
        <v>100188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71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9" ht="10.5">
      <c r="A23" s="27" t="s">
        <v>453</v>
      </c>
      <c r="B23" s="6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5" t="s">
        <v>421</v>
      </c>
      <c r="P23" s="68">
        <f>SUM(Q23:AB23)</f>
        <v>354498</v>
      </c>
      <c r="Q23" s="28"/>
      <c r="R23" s="28"/>
      <c r="S23" s="28"/>
      <c r="T23" s="19">
        <v>130436</v>
      </c>
      <c r="U23" s="27">
        <v>15880</v>
      </c>
      <c r="V23" s="27">
        <v>43762</v>
      </c>
      <c r="W23" s="27">
        <v>19454</v>
      </c>
      <c r="X23" s="27">
        <v>20074</v>
      </c>
      <c r="Y23" s="27">
        <v>11072</v>
      </c>
      <c r="Z23" s="28">
        <v>14379</v>
      </c>
      <c r="AA23" s="28">
        <v>45257</v>
      </c>
      <c r="AB23" s="28">
        <v>54184</v>
      </c>
      <c r="AC23" s="20">
        <v>833</v>
      </c>
    </row>
    <row r="24" spans="1:29" ht="10.5">
      <c r="A24" s="27" t="s">
        <v>454</v>
      </c>
      <c r="B24" s="61">
        <f>SUM(C24:N24)</f>
        <v>358390</v>
      </c>
      <c r="C24" s="28">
        <v>29465</v>
      </c>
      <c r="D24" s="28">
        <v>29464</v>
      </c>
      <c r="E24" s="28">
        <v>29464</v>
      </c>
      <c r="F24" s="28">
        <v>29464</v>
      </c>
      <c r="G24" s="28">
        <v>29464</v>
      </c>
      <c r="H24" s="28">
        <v>29867</v>
      </c>
      <c r="I24" s="28">
        <v>29867</v>
      </c>
      <c r="J24" s="28">
        <v>31866</v>
      </c>
      <c r="K24" s="28">
        <v>29867</v>
      </c>
      <c r="L24" s="28">
        <v>29867</v>
      </c>
      <c r="M24" s="28">
        <v>29867</v>
      </c>
      <c r="N24" s="28">
        <v>29868</v>
      </c>
      <c r="O24" s="25" t="s">
        <v>455</v>
      </c>
      <c r="P24" s="68">
        <f>SUM(Q24:AB24)</f>
        <v>101488</v>
      </c>
      <c r="Q24" s="28"/>
      <c r="R24" s="28"/>
      <c r="S24" s="28"/>
      <c r="T24" s="28">
        <v>4865</v>
      </c>
      <c r="U24" s="28"/>
      <c r="V24" s="28"/>
      <c r="W24" s="28">
        <v>33943</v>
      </c>
      <c r="X24" s="28">
        <v>35564</v>
      </c>
      <c r="Y24" s="28"/>
      <c r="Z24" s="28"/>
      <c r="AA24" s="28">
        <v>27116</v>
      </c>
      <c r="AB24" s="28"/>
      <c r="AC24" s="20">
        <v>835</v>
      </c>
    </row>
    <row r="25" spans="1:28" ht="10.5">
      <c r="A25" s="27"/>
      <c r="B25" s="6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7"/>
      <c r="P25" s="6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0.5">
      <c r="A26" s="25" t="s">
        <v>456</v>
      </c>
      <c r="B26" s="62">
        <f aca="true" t="shared" si="6" ref="B26:B31">SUM(C26:N26)</f>
        <v>235000</v>
      </c>
      <c r="C26" s="26">
        <v>4580</v>
      </c>
      <c r="D26" s="26">
        <v>6184</v>
      </c>
      <c r="E26" s="26">
        <v>6184</v>
      </c>
      <c r="F26" s="26">
        <v>6184</v>
      </c>
      <c r="G26" s="26">
        <v>36184</v>
      </c>
      <c r="H26" s="26">
        <v>31184</v>
      </c>
      <c r="I26" s="26">
        <v>18184</v>
      </c>
      <c r="J26" s="26">
        <v>6184</v>
      </c>
      <c r="K26" s="26">
        <v>86184</v>
      </c>
      <c r="L26" s="26">
        <v>6184</v>
      </c>
      <c r="M26" s="26">
        <v>23184</v>
      </c>
      <c r="N26" s="26">
        <v>4580</v>
      </c>
      <c r="O26" s="25" t="s">
        <v>422</v>
      </c>
      <c r="P26" s="68">
        <f>SUM(Q26:AB26)</f>
        <v>675</v>
      </c>
      <c r="Q26" s="26"/>
      <c r="R26" s="26"/>
      <c r="S26" s="26"/>
      <c r="T26" s="26"/>
      <c r="U26" s="26"/>
      <c r="V26" s="26"/>
      <c r="W26" s="26">
        <v>675</v>
      </c>
      <c r="X26" s="26"/>
      <c r="Y26" s="26"/>
      <c r="Z26" s="26"/>
      <c r="AA26" s="26"/>
      <c r="AB26" s="26"/>
    </row>
    <row r="27" spans="1:28" ht="10.5">
      <c r="A27" s="25" t="s">
        <v>457</v>
      </c>
      <c r="B27" s="62">
        <f t="shared" si="6"/>
        <v>68299</v>
      </c>
      <c r="C27" s="26">
        <v>3326</v>
      </c>
      <c r="D27" s="26">
        <v>3326</v>
      </c>
      <c r="E27" s="26">
        <v>3326</v>
      </c>
      <c r="F27" s="26">
        <v>3326</v>
      </c>
      <c r="G27" s="26">
        <v>3326</v>
      </c>
      <c r="H27" s="26">
        <v>7380</v>
      </c>
      <c r="I27" s="26">
        <v>7380</v>
      </c>
      <c r="J27" s="26">
        <v>7381</v>
      </c>
      <c r="K27" s="26">
        <v>7381</v>
      </c>
      <c r="L27" s="26">
        <v>7381</v>
      </c>
      <c r="M27" s="26">
        <v>7383</v>
      </c>
      <c r="N27" s="26">
        <v>7383</v>
      </c>
      <c r="O27" s="27"/>
      <c r="P27" s="72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ht="10.5">
      <c r="A28" s="25" t="s">
        <v>458</v>
      </c>
      <c r="B28" s="62">
        <f t="shared" si="6"/>
        <v>138199</v>
      </c>
      <c r="C28" s="26"/>
      <c r="D28" s="26"/>
      <c r="E28" s="26"/>
      <c r="F28" s="26"/>
      <c r="G28" s="26"/>
      <c r="H28" s="26">
        <v>22945</v>
      </c>
      <c r="I28" s="26">
        <v>22945</v>
      </c>
      <c r="J28" s="26">
        <v>22945</v>
      </c>
      <c r="K28" s="26">
        <v>22946</v>
      </c>
      <c r="L28" s="26">
        <v>22946</v>
      </c>
      <c r="M28" s="26">
        <v>22947</v>
      </c>
      <c r="N28" s="26">
        <v>525</v>
      </c>
      <c r="O28" s="25"/>
      <c r="P28" s="71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0.5">
      <c r="A29" s="25" t="s">
        <v>459</v>
      </c>
      <c r="B29" s="62">
        <f t="shared" si="6"/>
        <v>48240</v>
      </c>
      <c r="C29" s="26">
        <v>4020</v>
      </c>
      <c r="D29" s="26">
        <v>4020</v>
      </c>
      <c r="E29" s="26">
        <v>4020</v>
      </c>
      <c r="F29" s="26">
        <v>4020</v>
      </c>
      <c r="G29" s="26">
        <v>4020</v>
      </c>
      <c r="H29" s="26">
        <v>4020</v>
      </c>
      <c r="I29" s="26">
        <v>4020</v>
      </c>
      <c r="J29" s="26">
        <v>4020</v>
      </c>
      <c r="K29" s="26">
        <v>4020</v>
      </c>
      <c r="L29" s="26">
        <v>4020</v>
      </c>
      <c r="M29" s="26">
        <v>4020</v>
      </c>
      <c r="N29" s="26">
        <v>4020</v>
      </c>
      <c r="O29" s="25"/>
      <c r="P29" s="71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ht="10.5">
      <c r="A30" s="25" t="s">
        <v>460</v>
      </c>
      <c r="B30" s="62">
        <f t="shared" si="6"/>
        <v>69875</v>
      </c>
      <c r="C30" s="26">
        <v>4573</v>
      </c>
      <c r="D30" s="26">
        <v>4573</v>
      </c>
      <c r="E30" s="26">
        <v>4573</v>
      </c>
      <c r="F30" s="26">
        <v>4573</v>
      </c>
      <c r="G30" s="26">
        <v>4573</v>
      </c>
      <c r="H30" s="26">
        <v>4573</v>
      </c>
      <c r="I30" s="26">
        <v>4573</v>
      </c>
      <c r="J30" s="26">
        <v>4573</v>
      </c>
      <c r="K30" s="26">
        <v>19573</v>
      </c>
      <c r="L30" s="26">
        <v>4573</v>
      </c>
      <c r="M30" s="26">
        <v>4573</v>
      </c>
      <c r="N30" s="26">
        <v>4572</v>
      </c>
      <c r="O30" s="25"/>
      <c r="P30" s="71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ht="10.5">
      <c r="A31" s="25" t="s">
        <v>461</v>
      </c>
      <c r="B31" s="62">
        <f t="shared" si="6"/>
        <v>857221</v>
      </c>
      <c r="C31" s="26"/>
      <c r="D31" s="26"/>
      <c r="E31" s="26"/>
      <c r="F31" s="26"/>
      <c r="G31" s="26"/>
      <c r="H31" s="26">
        <v>122460</v>
      </c>
      <c r="I31" s="26">
        <v>122460</v>
      </c>
      <c r="J31" s="26">
        <v>122460</v>
      </c>
      <c r="K31" s="26">
        <v>122460</v>
      </c>
      <c r="L31" s="26">
        <v>122460</v>
      </c>
      <c r="M31" s="26">
        <v>122460</v>
      </c>
      <c r="N31" s="26">
        <v>122461</v>
      </c>
      <c r="O31" s="25"/>
      <c r="P31" s="71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0.5">
      <c r="A32" s="13" t="s">
        <v>412</v>
      </c>
      <c r="B32" s="65">
        <f aca="true" t="shared" si="7" ref="B32:N32">B3+B13+B18+B20+B26+B27+B28+B29+B30+B31</f>
        <v>6513789</v>
      </c>
      <c r="C32" s="66">
        <f t="shared" si="7"/>
        <v>479367</v>
      </c>
      <c r="D32" s="66">
        <f t="shared" si="7"/>
        <v>242907</v>
      </c>
      <c r="E32" s="66">
        <f t="shared" si="7"/>
        <v>301916</v>
      </c>
      <c r="F32" s="66">
        <f t="shared" si="7"/>
        <v>1200266</v>
      </c>
      <c r="G32" s="66">
        <f t="shared" si="7"/>
        <v>272907</v>
      </c>
      <c r="H32" s="66">
        <f t="shared" si="7"/>
        <v>423541</v>
      </c>
      <c r="I32" s="66">
        <f t="shared" si="7"/>
        <v>490655</v>
      </c>
      <c r="J32" s="66">
        <f t="shared" si="7"/>
        <v>401032</v>
      </c>
      <c r="K32" s="66">
        <f t="shared" si="7"/>
        <v>563246</v>
      </c>
      <c r="L32" s="66">
        <f t="shared" si="7"/>
        <v>1347390</v>
      </c>
      <c r="M32" s="66">
        <f t="shared" si="7"/>
        <v>416040</v>
      </c>
      <c r="N32" s="67">
        <f t="shared" si="7"/>
        <v>374522</v>
      </c>
      <c r="O32" s="25"/>
      <c r="P32" s="71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ht="10.5">
      <c r="A33" s="25" t="s">
        <v>413</v>
      </c>
      <c r="B33" s="62">
        <f>SUM(C33:N33)</f>
        <v>567843</v>
      </c>
      <c r="C33" s="26"/>
      <c r="D33" s="26">
        <v>110860</v>
      </c>
      <c r="E33" s="26">
        <v>54296</v>
      </c>
      <c r="F33" s="26"/>
      <c r="G33" s="26"/>
      <c r="H33" s="26">
        <v>124279</v>
      </c>
      <c r="I33" s="26">
        <v>157117</v>
      </c>
      <c r="J33" s="26">
        <v>121291</v>
      </c>
      <c r="K33" s="26"/>
      <c r="L33" s="26"/>
      <c r="M33" s="26"/>
      <c r="N33" s="26"/>
      <c r="O33" s="25"/>
      <c r="P33" s="73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 thickBot="1">
      <c r="A34" s="14" t="s">
        <v>414</v>
      </c>
      <c r="B34" s="63">
        <f>SUM(C34:N34)</f>
        <v>15612</v>
      </c>
      <c r="C34" s="30"/>
      <c r="D34" s="30"/>
      <c r="E34" s="30"/>
      <c r="F34" s="30"/>
      <c r="G34" s="30"/>
      <c r="H34" s="30"/>
      <c r="I34" s="30"/>
      <c r="J34" s="30">
        <v>15612</v>
      </c>
      <c r="K34" s="30"/>
      <c r="L34" s="30"/>
      <c r="M34" s="30"/>
      <c r="N34" s="30"/>
      <c r="O34" s="14"/>
      <c r="P34" s="74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ht="18" customHeight="1" thickBot="1">
      <c r="A35" s="31" t="s">
        <v>776</v>
      </c>
      <c r="B35" s="64">
        <f>SUM(C35:N35)</f>
        <v>7097244</v>
      </c>
      <c r="C35" s="32">
        <f aca="true" t="shared" si="8" ref="C35:N35">SUM(C32:C34)</f>
        <v>479367</v>
      </c>
      <c r="D35" s="32">
        <f t="shared" si="8"/>
        <v>353767</v>
      </c>
      <c r="E35" s="32">
        <f t="shared" si="8"/>
        <v>356212</v>
      </c>
      <c r="F35" s="32">
        <f t="shared" si="8"/>
        <v>1200266</v>
      </c>
      <c r="G35" s="32">
        <f t="shared" si="8"/>
        <v>272907</v>
      </c>
      <c r="H35" s="32">
        <f t="shared" si="8"/>
        <v>547820</v>
      </c>
      <c r="I35" s="32">
        <f t="shared" si="8"/>
        <v>647772</v>
      </c>
      <c r="J35" s="32">
        <f t="shared" si="8"/>
        <v>537935</v>
      </c>
      <c r="K35" s="32">
        <f t="shared" si="8"/>
        <v>563246</v>
      </c>
      <c r="L35" s="32">
        <f t="shared" si="8"/>
        <v>1347390</v>
      </c>
      <c r="M35" s="32">
        <f t="shared" si="8"/>
        <v>416040</v>
      </c>
      <c r="N35" s="32">
        <f t="shared" si="8"/>
        <v>374522</v>
      </c>
      <c r="O35" s="31" t="s">
        <v>415</v>
      </c>
      <c r="P35" s="64">
        <f>SUM(Q35:AB35)</f>
        <v>7097244</v>
      </c>
      <c r="Q35" s="32">
        <f>+Q3+Q13+Q19+Q23+Q26</f>
        <v>479531</v>
      </c>
      <c r="R35" s="32">
        <f aca="true" t="shared" si="9" ref="R35:AB35">+R3+R13+R19+R23+R26</f>
        <v>353930</v>
      </c>
      <c r="S35" s="32">
        <f t="shared" si="9"/>
        <v>356375</v>
      </c>
      <c r="T35" s="32">
        <f t="shared" si="9"/>
        <v>865948</v>
      </c>
      <c r="U35" s="32">
        <f t="shared" si="9"/>
        <v>574110</v>
      </c>
      <c r="V35" s="32">
        <f t="shared" si="9"/>
        <v>629340</v>
      </c>
      <c r="W35" s="32">
        <f t="shared" si="9"/>
        <v>673770</v>
      </c>
      <c r="X35" s="32">
        <f t="shared" si="9"/>
        <v>616604</v>
      </c>
      <c r="Y35" s="32">
        <f t="shared" si="9"/>
        <v>526568</v>
      </c>
      <c r="Z35" s="32">
        <f t="shared" si="9"/>
        <v>851697</v>
      </c>
      <c r="AA35" s="32">
        <f t="shared" si="9"/>
        <v>599895</v>
      </c>
      <c r="AB35" s="32">
        <f t="shared" si="9"/>
        <v>569476</v>
      </c>
    </row>
    <row r="36" spans="17:28" ht="10.5"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7:28" ht="10.5"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7:28" ht="10.5"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7:28" ht="10.5"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7:28" ht="10.5"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</sheetData>
  <sheetProtection/>
  <printOptions gridLines="1" headings="1"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&amp;C
2002. évi várható bevételi és kiadási előirányzatok teljesülésének  felhasználási ütemterve
&amp;R15. sz. melléklet
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"/>
  <dimension ref="A1:I85"/>
  <sheetViews>
    <sheetView zoomScalePageLayoutView="0" workbookViewId="0" topLeftCell="A90">
      <selection activeCell="G59" sqref="A31:G59"/>
    </sheetView>
  </sheetViews>
  <sheetFormatPr defaultColWidth="9.140625" defaultRowHeight="12.75"/>
  <cols>
    <col min="2" max="2" width="55.7109375" style="0" bestFit="1" customWidth="1"/>
    <col min="3" max="7" width="16.7109375" style="0" customWidth="1"/>
    <col min="8" max="9" width="10.8515625" style="0" bestFit="1" customWidth="1"/>
  </cols>
  <sheetData>
    <row r="1" spans="1:8" ht="13.5" thickBot="1">
      <c r="A1" s="1714"/>
      <c r="B1" s="1830" t="s">
        <v>450</v>
      </c>
      <c r="C1" s="1830"/>
      <c r="D1" s="1830"/>
      <c r="E1" s="1830"/>
      <c r="F1" s="1830"/>
      <c r="G1" s="1831"/>
      <c r="H1" s="92"/>
    </row>
    <row r="2" spans="1:8" ht="12.75" customHeight="1">
      <c r="A2" s="1766" t="s">
        <v>569</v>
      </c>
      <c r="B2" s="1769" t="s">
        <v>521</v>
      </c>
      <c r="C2" s="1762" t="s">
        <v>320</v>
      </c>
      <c r="D2" s="1762" t="s">
        <v>321</v>
      </c>
      <c r="E2" s="1762" t="s">
        <v>522</v>
      </c>
      <c r="F2" s="1762" t="s">
        <v>994</v>
      </c>
      <c r="G2" s="1764" t="s">
        <v>1169</v>
      </c>
      <c r="H2" s="92"/>
    </row>
    <row r="3" spans="1:8" ht="13.5" thickBot="1">
      <c r="A3" s="1767"/>
      <c r="B3" s="1775"/>
      <c r="C3" s="1773"/>
      <c r="D3" s="1773"/>
      <c r="E3" s="1773"/>
      <c r="F3" s="1763"/>
      <c r="G3" s="1774"/>
      <c r="H3" s="92"/>
    </row>
    <row r="4" spans="1:8" ht="18" customHeight="1">
      <c r="A4" s="570" t="s">
        <v>185</v>
      </c>
      <c r="B4" s="574" t="s">
        <v>186</v>
      </c>
      <c r="C4" s="756">
        <f>+'4. iNT ÖSSZESÍTŐ'!G3</f>
        <v>289480970</v>
      </c>
      <c r="D4" s="756">
        <f>+'3.1.Bevétel POHI'!G3</f>
        <v>0</v>
      </c>
      <c r="E4" s="410">
        <f>+'2.1 Bevétel'!G3</f>
        <v>1829778710</v>
      </c>
      <c r="F4" s="1055"/>
      <c r="G4" s="588">
        <f>SUM(C4:E4)</f>
        <v>2119259680</v>
      </c>
      <c r="H4" s="92"/>
    </row>
    <row r="5" spans="1:8" ht="18" customHeight="1">
      <c r="A5" s="571" t="s">
        <v>193</v>
      </c>
      <c r="B5" s="575" t="s">
        <v>148</v>
      </c>
      <c r="C5" s="298">
        <f>+'4. iNT ÖSSZESÍTŐ'!G5</f>
        <v>0</v>
      </c>
      <c r="D5" s="309">
        <f>+'3.1.Bevétel POHI'!G5</f>
        <v>0</v>
      </c>
      <c r="E5" s="309">
        <f>+'2.1 Bevétel'!G32</f>
        <v>5042140979</v>
      </c>
      <c r="F5" s="1056"/>
      <c r="G5" s="572">
        <f>SUM(C5:E5)</f>
        <v>5042140979</v>
      </c>
      <c r="H5" s="92"/>
    </row>
    <row r="6" spans="1:8" ht="18" customHeight="1">
      <c r="A6" s="571" t="s">
        <v>469</v>
      </c>
      <c r="B6" s="575" t="s">
        <v>149</v>
      </c>
      <c r="C6" s="298">
        <f>+'4. iNT ÖSSZESÍTŐ'!G6</f>
        <v>401850175</v>
      </c>
      <c r="D6" s="298">
        <f>+'3.1.Bevétel POHI'!G6</f>
        <v>6794500</v>
      </c>
      <c r="E6" s="298">
        <f>+'2.1 Bevétel'!G48</f>
        <v>446458000</v>
      </c>
      <c r="F6" s="1057"/>
      <c r="G6" s="757">
        <f>SUM(C6:E6)</f>
        <v>855102675</v>
      </c>
      <c r="H6" s="92"/>
    </row>
    <row r="7" spans="1:8" ht="18" customHeight="1" thickBot="1">
      <c r="A7" s="576" t="s">
        <v>471</v>
      </c>
      <c r="B7" s="583" t="s">
        <v>475</v>
      </c>
      <c r="C7" s="483">
        <f>+'4. iNT ÖSSZESÍTŐ'!G8</f>
        <v>0</v>
      </c>
      <c r="D7" s="577">
        <f>+'3.1.Bevétel POHI'!G11</f>
        <v>0</v>
      </c>
      <c r="E7" s="577">
        <f>+'2.1 Bevétel'!G68</f>
        <v>0</v>
      </c>
      <c r="F7" s="1058"/>
      <c r="G7" s="578">
        <f>SUM(C7:E7)</f>
        <v>0</v>
      </c>
      <c r="H7" s="92"/>
    </row>
    <row r="8" spans="1:8" ht="24.75" customHeight="1" thickBot="1">
      <c r="A8" s="579"/>
      <c r="B8" s="580" t="s">
        <v>150</v>
      </c>
      <c r="C8" s="581">
        <f>C4+C5+C6+C7</f>
        <v>691331145</v>
      </c>
      <c r="D8" s="581">
        <f>D4+D5+D6+D7</f>
        <v>6794500</v>
      </c>
      <c r="E8" s="581">
        <f>E4+E5+E6+E7</f>
        <v>7318377689</v>
      </c>
      <c r="F8" s="1059"/>
      <c r="G8" s="587">
        <f aca="true" t="shared" si="0" ref="G8:G19">SUM(C8:E8)</f>
        <v>8016503334</v>
      </c>
      <c r="H8" s="92"/>
    </row>
    <row r="9" spans="1:8" ht="18" customHeight="1">
      <c r="A9" s="571"/>
      <c r="B9" s="472" t="s">
        <v>241</v>
      </c>
      <c r="C9" s="298">
        <f>+'4. iNT ÖSSZESÍTŐ'!G14</f>
        <v>31868407</v>
      </c>
      <c r="D9" s="309">
        <f>+'3.1.Bevétel POHI'!G18</f>
        <v>0</v>
      </c>
      <c r="E9" s="309">
        <f>+'2.1 Bevétel'!G79</f>
        <v>117361138</v>
      </c>
      <c r="F9" s="1056"/>
      <c r="G9" s="572">
        <f t="shared" si="0"/>
        <v>149229545</v>
      </c>
      <c r="H9" s="92"/>
    </row>
    <row r="10" spans="1:8" ht="18" customHeight="1" thickBot="1">
      <c r="A10" s="571"/>
      <c r="B10" s="474" t="s">
        <v>667</v>
      </c>
      <c r="C10" s="298">
        <f>+'4. iNT ÖSSZESÍTŐ'!G17</f>
        <v>3627283459</v>
      </c>
      <c r="D10" s="309">
        <f>+'3.1.Bevétel POHI'!G21</f>
        <v>1417861846</v>
      </c>
      <c r="E10" s="309"/>
      <c r="F10" s="1056"/>
      <c r="G10" s="572">
        <f t="shared" si="0"/>
        <v>5045145305</v>
      </c>
      <c r="H10" s="92"/>
    </row>
    <row r="11" spans="1:8" ht="24.75" customHeight="1" thickBot="1">
      <c r="A11" s="579" t="s">
        <v>477</v>
      </c>
      <c r="B11" s="580" t="s">
        <v>153</v>
      </c>
      <c r="C11" s="581">
        <f>SUM(C9:C10)</f>
        <v>3659151866</v>
      </c>
      <c r="D11" s="581">
        <f>SUM(D9:D10)</f>
        <v>1417861846</v>
      </c>
      <c r="E11" s="581">
        <f>SUM(E9:E10)</f>
        <v>117361138</v>
      </c>
      <c r="F11" s="1059"/>
      <c r="G11" s="587">
        <f>SUM(C11:E11)</f>
        <v>5194374850</v>
      </c>
      <c r="H11" s="92"/>
    </row>
    <row r="12" spans="1:8" ht="18" customHeight="1" thickBot="1">
      <c r="A12" s="593"/>
      <c r="B12" s="594" t="s">
        <v>725</v>
      </c>
      <c r="C12" s="409"/>
      <c r="D12" s="409"/>
      <c r="E12" s="411"/>
      <c r="F12" s="1060">
        <f>+G12</f>
        <v>-5045145305</v>
      </c>
      <c r="G12" s="595">
        <f>-C10-D10</f>
        <v>-5045145305</v>
      </c>
      <c r="H12" s="294"/>
    </row>
    <row r="13" spans="1:8" ht="24.75" customHeight="1" thickBot="1">
      <c r="A13" s="589"/>
      <c r="B13" s="590" t="s">
        <v>151</v>
      </c>
      <c r="C13" s="591">
        <f>C8+C11+C12</f>
        <v>4350483011</v>
      </c>
      <c r="D13" s="591">
        <f>D8+D11+D12</f>
        <v>1424656346</v>
      </c>
      <c r="E13" s="591">
        <f>E8+E11+E12</f>
        <v>7435738827</v>
      </c>
      <c r="F13" s="591">
        <f>+G12</f>
        <v>-5045145305</v>
      </c>
      <c r="G13" s="1934">
        <f>G8+G11+G12</f>
        <v>8165732879</v>
      </c>
      <c r="H13" s="92"/>
    </row>
    <row r="14" spans="1:8" ht="18" customHeight="1">
      <c r="A14" s="570" t="s">
        <v>187</v>
      </c>
      <c r="B14" s="574" t="s">
        <v>145</v>
      </c>
      <c r="C14" s="408">
        <f>+'4. iNT ÖSSZESÍTŐ'!G4</f>
        <v>0</v>
      </c>
      <c r="D14" s="408">
        <f>+'3.1.Bevétel POHI'!G4</f>
        <v>0</v>
      </c>
      <c r="E14" s="410">
        <f>+'2.1 Bevétel'!G25</f>
        <v>1019000000</v>
      </c>
      <c r="F14" s="1055"/>
      <c r="G14" s="588">
        <f t="shared" si="0"/>
        <v>1019000000</v>
      </c>
      <c r="H14" s="92"/>
    </row>
    <row r="15" spans="1:8" ht="18" customHeight="1">
      <c r="A15" s="571"/>
      <c r="B15" s="575" t="s">
        <v>152</v>
      </c>
      <c r="C15" s="592"/>
      <c r="D15" s="592"/>
      <c r="E15" s="309"/>
      <c r="F15" s="1056"/>
      <c r="G15" s="572">
        <f t="shared" si="0"/>
        <v>0</v>
      </c>
      <c r="H15" s="92"/>
    </row>
    <row r="16" spans="1:8" ht="18" customHeight="1">
      <c r="A16" s="571" t="s">
        <v>146</v>
      </c>
      <c r="B16" s="575" t="s">
        <v>157</v>
      </c>
      <c r="C16" s="592">
        <f>+'4. iNT ÖSSZESÍTŐ'!G7</f>
        <v>0</v>
      </c>
      <c r="D16" s="592">
        <f>+'3.1.Bevétel POHI'!G10</f>
        <v>0</v>
      </c>
      <c r="E16" s="309">
        <f>+'2.1 Bevétel'!G63</f>
        <v>233700000</v>
      </c>
      <c r="F16" s="1056"/>
      <c r="G16" s="572">
        <f t="shared" si="0"/>
        <v>233700000</v>
      </c>
      <c r="H16" s="92"/>
    </row>
    <row r="17" spans="1:8" ht="18" customHeight="1" thickBot="1">
      <c r="A17" s="571" t="s">
        <v>147</v>
      </c>
      <c r="B17" s="575" t="s">
        <v>474</v>
      </c>
      <c r="C17" s="592">
        <f>'4. iNT ÖSSZESÍTŐ'!G9</f>
        <v>0</v>
      </c>
      <c r="D17" s="592">
        <f>'3.1.Bevétel POHI'!G12</f>
        <v>0</v>
      </c>
      <c r="E17" s="309">
        <f>+'2.1 Bevétel'!G69</f>
        <v>19400000</v>
      </c>
      <c r="F17" s="1056"/>
      <c r="G17" s="572">
        <f t="shared" si="0"/>
        <v>19400000</v>
      </c>
      <c r="H17" s="92"/>
    </row>
    <row r="18" spans="1:8" ht="24.75" customHeight="1" thickBot="1">
      <c r="A18" s="579"/>
      <c r="B18" s="580" t="s">
        <v>155</v>
      </c>
      <c r="C18" s="581">
        <f>SUM(C14:C17)</f>
        <v>0</v>
      </c>
      <c r="D18" s="581">
        <f>SUM(D14:D17)</f>
        <v>0</v>
      </c>
      <c r="E18" s="581">
        <f>SUM(E14:E17)</f>
        <v>1272100000</v>
      </c>
      <c r="F18" s="1059"/>
      <c r="G18" s="587">
        <f>SUM(C18:E18)</f>
        <v>1272100000</v>
      </c>
      <c r="H18" s="92"/>
    </row>
    <row r="19" spans="1:8" ht="18" customHeight="1">
      <c r="A19" s="571"/>
      <c r="B19" s="472" t="s">
        <v>1174</v>
      </c>
      <c r="C19" s="309"/>
      <c r="D19" s="309"/>
      <c r="E19" s="309">
        <f>+'2.1 Bevétel'!G82</f>
        <v>561000000</v>
      </c>
      <c r="F19" s="1056"/>
      <c r="G19" s="1933">
        <f t="shared" si="0"/>
        <v>561000000</v>
      </c>
      <c r="H19" s="92"/>
    </row>
    <row r="20" spans="1:8" ht="18" customHeight="1">
      <c r="A20" s="571"/>
      <c r="B20" s="472" t="s">
        <v>242</v>
      </c>
      <c r="C20" s="309">
        <f>+'4. iNT ÖSSZESÍTŐ'!G15</f>
        <v>4747154</v>
      </c>
      <c r="D20" s="309">
        <f>+'3.1.Bevétel POHI'!G19</f>
        <v>0</v>
      </c>
      <c r="E20" s="309">
        <f>+'2.1 Bevétel'!G80</f>
        <v>1182638862</v>
      </c>
      <c r="F20" s="1056"/>
      <c r="G20" s="572">
        <f>SUM(C20:E20)</f>
        <v>1187386016</v>
      </c>
      <c r="H20" s="92"/>
    </row>
    <row r="21" spans="1:8" ht="18" customHeight="1" thickBot="1">
      <c r="A21" s="571"/>
      <c r="B21" s="474" t="s">
        <v>1175</v>
      </c>
      <c r="C21" s="309">
        <f>+'4. iNT ÖSSZESÍTŐ'!G18</f>
        <v>18255000</v>
      </c>
      <c r="D21" s="309">
        <f>+'3.1.Bevétel POHI'!G22</f>
        <v>132994400</v>
      </c>
      <c r="E21" s="309"/>
      <c r="F21" s="1056"/>
      <c r="G21" s="572">
        <f>SUM(C21:E21)</f>
        <v>151249400</v>
      </c>
      <c r="H21" s="92"/>
    </row>
    <row r="22" spans="1:8" ht="24.75" customHeight="1" thickBot="1">
      <c r="A22" s="579" t="s">
        <v>477</v>
      </c>
      <c r="B22" s="580" t="s">
        <v>154</v>
      </c>
      <c r="C22" s="581">
        <f>SUM(C19:C21)</f>
        <v>23002154</v>
      </c>
      <c r="D22" s="581">
        <f>SUM(D19:D21)</f>
        <v>132994400</v>
      </c>
      <c r="E22" s="581">
        <f>SUM(E19:E21)</f>
        <v>1743638862</v>
      </c>
      <c r="F22" s="1059">
        <f>SUM(F19:F21)</f>
        <v>0</v>
      </c>
      <c r="G22" s="587">
        <f>SUM(C22:E22)</f>
        <v>1899635416</v>
      </c>
      <c r="H22" s="92"/>
    </row>
    <row r="23" spans="1:8" ht="18" customHeight="1" thickBot="1">
      <c r="A23" s="593"/>
      <c r="B23" s="594" t="s">
        <v>725</v>
      </c>
      <c r="C23" s="409"/>
      <c r="D23" s="409"/>
      <c r="E23" s="411"/>
      <c r="F23" s="1060">
        <f>+G23</f>
        <v>-151249400</v>
      </c>
      <c r="G23" s="595">
        <f>-C21-D21</f>
        <v>-151249400</v>
      </c>
      <c r="H23" s="294"/>
    </row>
    <row r="24" spans="1:8" ht="24.75" customHeight="1" thickBot="1">
      <c r="A24" s="589"/>
      <c r="B24" s="590" t="s">
        <v>156</v>
      </c>
      <c r="C24" s="591">
        <f>C22+C18+C23</f>
        <v>23002154</v>
      </c>
      <c r="D24" s="591">
        <f>D22+D18+D23</f>
        <v>132994400</v>
      </c>
      <c r="E24" s="591">
        <f>E22+E18+E23</f>
        <v>3015738862</v>
      </c>
      <c r="F24" s="591">
        <f>+G23</f>
        <v>-151249400</v>
      </c>
      <c r="G24" s="1934">
        <f>G22+G18+G23</f>
        <v>3020486016</v>
      </c>
      <c r="H24" s="92"/>
    </row>
    <row r="25" spans="1:8" ht="18" customHeight="1">
      <c r="A25" s="855"/>
      <c r="B25" s="856" t="s">
        <v>286</v>
      </c>
      <c r="C25" s="408">
        <f>C8+C18</f>
        <v>691331145</v>
      </c>
      <c r="D25" s="408">
        <f>D8+D18</f>
        <v>6794500</v>
      </c>
      <c r="E25" s="408">
        <f>E8+E18</f>
        <v>8590477689</v>
      </c>
      <c r="F25" s="1061"/>
      <c r="G25" s="857">
        <f>SUM(C25:E25)</f>
        <v>9288603334</v>
      </c>
      <c r="H25" s="92"/>
    </row>
    <row r="26" spans="1:8" ht="18" customHeight="1">
      <c r="A26" s="858"/>
      <c r="B26" s="859" t="s">
        <v>366</v>
      </c>
      <c r="C26" s="592">
        <f>C11+C22</f>
        <v>3682154020</v>
      </c>
      <c r="D26" s="592">
        <f>D11+D22</f>
        <v>1550856246</v>
      </c>
      <c r="E26" s="592">
        <f>E11+E22</f>
        <v>1861000000</v>
      </c>
      <c r="F26" s="1062"/>
      <c r="G26" s="860">
        <f>SUM(C26:E26)</f>
        <v>7094010266</v>
      </c>
      <c r="H26" s="92"/>
    </row>
    <row r="27" spans="1:8" ht="18" customHeight="1" thickBot="1">
      <c r="A27" s="593"/>
      <c r="B27" s="594" t="s">
        <v>725</v>
      </c>
      <c r="C27" s="409"/>
      <c r="D27" s="409"/>
      <c r="E27" s="411"/>
      <c r="F27" s="1060">
        <f>+G27</f>
        <v>-5196394705</v>
      </c>
      <c r="G27" s="595">
        <f>-C10-D10-C21-D21</f>
        <v>-5196394705</v>
      </c>
      <c r="H27" s="294"/>
    </row>
    <row r="28" spans="1:8" ht="24.75" customHeight="1" thickBot="1">
      <c r="A28" s="579"/>
      <c r="B28" s="580" t="s">
        <v>555</v>
      </c>
      <c r="C28" s="581">
        <f>C25+C26+C27</f>
        <v>4373485165</v>
      </c>
      <c r="D28" s="581">
        <f>D25+D26+D27</f>
        <v>1557650746</v>
      </c>
      <c r="E28" s="581">
        <f>E25+E26+E27</f>
        <v>10451477689</v>
      </c>
      <c r="F28" s="1059">
        <f>+G27</f>
        <v>-5196394705</v>
      </c>
      <c r="G28" s="582">
        <f>G25+G26+G27</f>
        <v>11186218895</v>
      </c>
      <c r="H28" s="92"/>
    </row>
    <row r="29" spans="1:8" ht="14.25" customHeight="1">
      <c r="A29" s="596"/>
      <c r="B29" s="597"/>
      <c r="C29" s="598"/>
      <c r="D29" s="598"/>
      <c r="E29" s="598"/>
      <c r="F29" s="598"/>
      <c r="G29" s="598"/>
      <c r="H29" s="92"/>
    </row>
    <row r="30" spans="2:7" ht="13.5" thickBot="1">
      <c r="B30" s="1772" t="s">
        <v>449</v>
      </c>
      <c r="C30" s="1772"/>
      <c r="D30" s="1772"/>
      <c r="E30" s="1772"/>
      <c r="F30" s="1772"/>
      <c r="G30" s="1772"/>
    </row>
    <row r="31" spans="1:8" ht="12.75" customHeight="1">
      <c r="A31" s="1766" t="s">
        <v>569</v>
      </c>
      <c r="B31" s="1769" t="s">
        <v>317</v>
      </c>
      <c r="C31" s="1762" t="s">
        <v>320</v>
      </c>
      <c r="D31" s="1762" t="s">
        <v>321</v>
      </c>
      <c r="E31" s="1762" t="s">
        <v>522</v>
      </c>
      <c r="F31" s="1762" t="s">
        <v>994</v>
      </c>
      <c r="G31" s="1764" t="s">
        <v>1170</v>
      </c>
      <c r="H31" s="92"/>
    </row>
    <row r="32" spans="1:8" ht="13.5" thickBot="1">
      <c r="A32" s="1768"/>
      <c r="B32" s="1770"/>
      <c r="C32" s="1763"/>
      <c r="D32" s="1763"/>
      <c r="E32" s="1763"/>
      <c r="F32" s="1763"/>
      <c r="G32" s="1765"/>
      <c r="H32" s="92"/>
    </row>
    <row r="33" spans="1:8" ht="18" customHeight="1">
      <c r="A33" s="853" t="s">
        <v>104</v>
      </c>
      <c r="B33" s="574" t="s">
        <v>105</v>
      </c>
      <c r="C33" s="464">
        <f>'4. iNT ÖSSZESÍTŐ'!G31</f>
        <v>2313299242</v>
      </c>
      <c r="D33" s="410">
        <f>'3.2.Kiad. POHI'!G3</f>
        <v>807575723</v>
      </c>
      <c r="E33" s="410">
        <f>'2.3.Kiad.'!G3</f>
        <v>183223841</v>
      </c>
      <c r="F33" s="410"/>
      <c r="G33" s="588">
        <f aca="true" t="shared" si="1" ref="G33:G42">SUM(C33:E33)</f>
        <v>3304098806</v>
      </c>
      <c r="H33" s="92"/>
    </row>
    <row r="34" spans="1:8" ht="26.25" customHeight="1">
      <c r="A34" s="571" t="s">
        <v>106</v>
      </c>
      <c r="B34" s="481" t="s">
        <v>107</v>
      </c>
      <c r="C34" s="298">
        <f>'4. iNT ÖSSZESÍTŐ'!G32</f>
        <v>545998560</v>
      </c>
      <c r="D34" s="309">
        <f>+'3.2.Kiad. POHI'!G4</f>
        <v>203209841</v>
      </c>
      <c r="E34" s="309">
        <f>'2.3.Kiad.'!G4</f>
        <v>48203470</v>
      </c>
      <c r="F34" s="309"/>
      <c r="G34" s="572">
        <f t="shared" si="1"/>
        <v>797411871</v>
      </c>
      <c r="H34" s="92"/>
    </row>
    <row r="35" spans="1:8" ht="18" customHeight="1">
      <c r="A35" s="571" t="s">
        <v>108</v>
      </c>
      <c r="B35" s="575" t="s">
        <v>109</v>
      </c>
      <c r="C35" s="298">
        <f>'4. iNT ÖSSZESÍTŐ'!G33</f>
        <v>1490375209</v>
      </c>
      <c r="D35" s="309">
        <f>'3.2.Kiad. POHI'!G5</f>
        <v>398412306</v>
      </c>
      <c r="E35" s="309">
        <f>'2.3.Kiad.'!G5</f>
        <v>1432757862</v>
      </c>
      <c r="F35" s="309"/>
      <c r="G35" s="572">
        <f t="shared" si="1"/>
        <v>3321545377</v>
      </c>
      <c r="H35" s="92"/>
    </row>
    <row r="36" spans="1:8" ht="18" customHeight="1">
      <c r="A36" s="571" t="s">
        <v>110</v>
      </c>
      <c r="B36" s="575" t="s">
        <v>111</v>
      </c>
      <c r="C36" s="298">
        <f>'4. iNT ÖSSZESÍTŐ'!G34</f>
        <v>810000</v>
      </c>
      <c r="D36" s="309">
        <f>'3.2.Kiad. POHI'!G6</f>
        <v>14500000</v>
      </c>
      <c r="E36" s="309">
        <f>'2.3.Kiad.'!G6</f>
        <v>102190000</v>
      </c>
      <c r="F36" s="309"/>
      <c r="G36" s="572">
        <f t="shared" si="1"/>
        <v>117500000</v>
      </c>
      <c r="H36" s="92"/>
    </row>
    <row r="37" spans="1:8" ht="18" customHeight="1">
      <c r="A37" s="571" t="s">
        <v>112</v>
      </c>
      <c r="B37" s="575" t="s">
        <v>113</v>
      </c>
      <c r="C37" s="298">
        <f>'4. iNT ÖSSZESÍTŐ'!G35</f>
        <v>0</v>
      </c>
      <c r="D37" s="309">
        <f>'3.2.Kiad. POHI'!G7</f>
        <v>958476</v>
      </c>
      <c r="E37" s="309">
        <f>'2.3.Kiad.'!G8</f>
        <v>900209253</v>
      </c>
      <c r="F37" s="309"/>
      <c r="G37" s="572">
        <f t="shared" si="1"/>
        <v>901167729</v>
      </c>
      <c r="H37" s="92"/>
    </row>
    <row r="38" spans="1:8" ht="18" customHeight="1" thickBot="1">
      <c r="A38" s="571"/>
      <c r="B38" s="575" t="s">
        <v>239</v>
      </c>
      <c r="C38" s="298"/>
      <c r="D38" s="309"/>
      <c r="E38" s="309">
        <f>-'2.3.Kiad.'!G17</f>
        <v>-336810000</v>
      </c>
      <c r="F38" s="309"/>
      <c r="G38" s="572">
        <f t="shared" si="1"/>
        <v>-336810000</v>
      </c>
      <c r="H38" s="92"/>
    </row>
    <row r="39" spans="1:8" ht="24.75" customHeight="1" thickBot="1">
      <c r="A39" s="579"/>
      <c r="B39" s="580" t="s">
        <v>166</v>
      </c>
      <c r="C39" s="581">
        <f>SUM(C33:C38)</f>
        <v>4350483011</v>
      </c>
      <c r="D39" s="581">
        <f>SUM(D33:D38)</f>
        <v>1424656346</v>
      </c>
      <c r="E39" s="581">
        <f>SUM(E33:E38)</f>
        <v>2329774426</v>
      </c>
      <c r="F39" s="581"/>
      <c r="G39" s="582">
        <f t="shared" si="1"/>
        <v>8104913783</v>
      </c>
      <c r="H39" s="92"/>
    </row>
    <row r="40" spans="1:8" ht="18" customHeight="1">
      <c r="A40" s="570"/>
      <c r="B40" s="854" t="s">
        <v>993</v>
      </c>
      <c r="C40" s="464"/>
      <c r="D40" s="410"/>
      <c r="E40" s="410">
        <f>+'2.3.Kiad.'!G27</f>
        <v>55528296</v>
      </c>
      <c r="F40" s="410"/>
      <c r="G40" s="588">
        <f t="shared" si="1"/>
        <v>55528296</v>
      </c>
      <c r="H40" s="92"/>
    </row>
    <row r="41" spans="1:8" ht="18" customHeight="1" thickBot="1">
      <c r="A41" s="593"/>
      <c r="B41" s="297" t="s">
        <v>497</v>
      </c>
      <c r="C41" s="551"/>
      <c r="D41" s="411"/>
      <c r="E41" s="411">
        <f>'2.3.Kiad.'!G29</f>
        <v>5045145305</v>
      </c>
      <c r="F41" s="411"/>
      <c r="G41" s="595">
        <f t="shared" si="1"/>
        <v>5045145305</v>
      </c>
      <c r="H41" s="92"/>
    </row>
    <row r="42" spans="1:8" ht="24.75" customHeight="1" thickBot="1">
      <c r="A42" s="579" t="s">
        <v>129</v>
      </c>
      <c r="B42" s="580" t="s">
        <v>167</v>
      </c>
      <c r="C42" s="581">
        <f>SUM(C40:C41)</f>
        <v>0</v>
      </c>
      <c r="D42" s="581">
        <f>SUM(D40:D41)</f>
        <v>0</v>
      </c>
      <c r="E42" s="581">
        <f>SUM(E40:E41)</f>
        <v>5100673601</v>
      </c>
      <c r="F42" s="581"/>
      <c r="G42" s="582">
        <f t="shared" si="1"/>
        <v>5100673601</v>
      </c>
      <c r="H42" s="92"/>
    </row>
    <row r="43" spans="1:8" ht="18" customHeight="1" thickBot="1">
      <c r="A43" s="593"/>
      <c r="B43" s="594" t="s">
        <v>725</v>
      </c>
      <c r="C43" s="409"/>
      <c r="D43" s="409"/>
      <c r="E43" s="411"/>
      <c r="F43" s="411">
        <f>+G43</f>
        <v>-5045145305</v>
      </c>
      <c r="G43" s="595">
        <f>-'3.1.Bevétel POHI'!G21-'4. iNT ÖSSZESÍTŐ'!G17</f>
        <v>-5045145305</v>
      </c>
      <c r="H43" s="92"/>
    </row>
    <row r="44" spans="1:8" ht="24.75" customHeight="1" thickBot="1">
      <c r="A44" s="579"/>
      <c r="B44" s="580" t="s">
        <v>168</v>
      </c>
      <c r="C44" s="581">
        <f>C39+C42+C43</f>
        <v>4350483011</v>
      </c>
      <c r="D44" s="581">
        <f>D39+D42+D43</f>
        <v>1424656346</v>
      </c>
      <c r="E44" s="581">
        <f>E39+E42+E43</f>
        <v>7430448027</v>
      </c>
      <c r="F44" s="581">
        <f>+G43</f>
        <v>-5045145305</v>
      </c>
      <c r="G44" s="582">
        <f>G39+G42+G43</f>
        <v>8160442079</v>
      </c>
      <c r="H44" s="92"/>
    </row>
    <row r="45" spans="1:8" ht="18" customHeight="1">
      <c r="A45" s="853" t="s">
        <v>548</v>
      </c>
      <c r="B45" s="584" t="s">
        <v>121</v>
      </c>
      <c r="C45" s="585">
        <f>'4. iNT ÖSSZESÍTŐ'!G36</f>
        <v>23002154</v>
      </c>
      <c r="D45" s="393">
        <f>'3.2.Kiad. POHI'!G10</f>
        <v>115214400</v>
      </c>
      <c r="E45" s="393">
        <f>'2.3.Kiad.'!G18</f>
        <v>2139963962</v>
      </c>
      <c r="F45" s="393"/>
      <c r="G45" s="586">
        <f aca="true" t="shared" si="2" ref="G45:G53">SUM(C45:E45)</f>
        <v>2278180516</v>
      </c>
      <c r="H45" s="92"/>
    </row>
    <row r="46" spans="1:8" ht="18" customHeight="1">
      <c r="A46" s="571" t="s">
        <v>122</v>
      </c>
      <c r="B46" s="575" t="s">
        <v>123</v>
      </c>
      <c r="C46" s="298">
        <f>'4. iNT ÖSSZESÍTŐ'!G37</f>
        <v>0</v>
      </c>
      <c r="D46" s="309">
        <f>'3.2.Kiad. POHI'!G11</f>
        <v>17780000</v>
      </c>
      <c r="E46" s="309">
        <f>'2.3.Kiad.'!G19</f>
        <v>245024239</v>
      </c>
      <c r="F46" s="309"/>
      <c r="G46" s="572">
        <f t="shared" si="2"/>
        <v>262804239</v>
      </c>
      <c r="H46" s="92"/>
    </row>
    <row r="47" spans="1:8" ht="18" customHeight="1">
      <c r="A47" s="571" t="s">
        <v>124</v>
      </c>
      <c r="B47" s="575" t="s">
        <v>125</v>
      </c>
      <c r="C47" s="298">
        <f>'4. iNT ÖSSZESÍTŐ'!G38</f>
        <v>0</v>
      </c>
      <c r="D47" s="309">
        <f>'3.2.Kiad. POHI'!G12</f>
        <v>0</v>
      </c>
      <c r="E47" s="309">
        <f>'2.3.Kiad.'!G20</f>
        <v>35782061</v>
      </c>
      <c r="F47" s="309"/>
      <c r="G47" s="572">
        <f t="shared" si="2"/>
        <v>35782061</v>
      </c>
      <c r="H47" s="92"/>
    </row>
    <row r="48" spans="1:8" ht="18" customHeight="1">
      <c r="A48" s="571"/>
      <c r="B48" s="575" t="s">
        <v>240</v>
      </c>
      <c r="C48" s="298"/>
      <c r="D48" s="309"/>
      <c r="E48" s="309"/>
      <c r="F48" s="309"/>
      <c r="G48" s="572">
        <f t="shared" si="2"/>
        <v>0</v>
      </c>
      <c r="H48" s="92"/>
    </row>
    <row r="49" spans="1:8" ht="18" customHeight="1" thickBot="1">
      <c r="A49" s="571"/>
      <c r="B49" s="575" t="s">
        <v>630</v>
      </c>
      <c r="C49" s="298"/>
      <c r="D49" s="309"/>
      <c r="E49" s="309">
        <f>'2.3.Kiad.'!G17</f>
        <v>336810000</v>
      </c>
      <c r="F49" s="309"/>
      <c r="G49" s="572">
        <f t="shared" si="2"/>
        <v>336810000</v>
      </c>
      <c r="H49" s="92"/>
    </row>
    <row r="50" spans="1:8" ht="24.75" customHeight="1" thickBot="1">
      <c r="A50" s="579"/>
      <c r="B50" s="580" t="s">
        <v>169</v>
      </c>
      <c r="C50" s="581">
        <f>SUM(C45:C49)</f>
        <v>23002154</v>
      </c>
      <c r="D50" s="581">
        <f>SUM(D45:D49)</f>
        <v>132994400</v>
      </c>
      <c r="E50" s="581">
        <f>SUM(E45:E49)</f>
        <v>2757580262</v>
      </c>
      <c r="F50" s="581"/>
      <c r="G50" s="587">
        <f t="shared" si="2"/>
        <v>2913576816</v>
      </c>
      <c r="H50" s="92"/>
    </row>
    <row r="51" spans="1:8" ht="18" customHeight="1">
      <c r="A51" s="571"/>
      <c r="B51" s="575" t="s">
        <v>498</v>
      </c>
      <c r="C51" s="298"/>
      <c r="D51" s="309"/>
      <c r="E51" s="309">
        <f>+'2.3.Kiad.'!G26</f>
        <v>112200000</v>
      </c>
      <c r="F51" s="309"/>
      <c r="G51" s="572">
        <f t="shared" si="2"/>
        <v>112200000</v>
      </c>
      <c r="H51" s="92"/>
    </row>
    <row r="52" spans="1:8" ht="18" customHeight="1" thickBot="1">
      <c r="A52" s="571"/>
      <c r="B52" s="575" t="s">
        <v>136</v>
      </c>
      <c r="C52" s="298"/>
      <c r="D52" s="309"/>
      <c r="E52" s="309">
        <f>'2.3.Kiad.'!G32</f>
        <v>151249400</v>
      </c>
      <c r="F52" s="309"/>
      <c r="G52" s="572">
        <f t="shared" si="2"/>
        <v>151249400</v>
      </c>
      <c r="H52" s="92"/>
    </row>
    <row r="53" spans="1:8" ht="24.75" customHeight="1" thickBot="1">
      <c r="A53" s="579" t="s">
        <v>129</v>
      </c>
      <c r="B53" s="580" t="s">
        <v>170</v>
      </c>
      <c r="C53" s="581">
        <f>SUM(C51:C52)</f>
        <v>0</v>
      </c>
      <c r="D53" s="581">
        <f>SUM(D51:D52)</f>
        <v>0</v>
      </c>
      <c r="E53" s="581">
        <f>SUM(E51:E52)</f>
        <v>263449400</v>
      </c>
      <c r="F53" s="581"/>
      <c r="G53" s="582">
        <f t="shared" si="2"/>
        <v>263449400</v>
      </c>
      <c r="H53" s="92"/>
    </row>
    <row r="54" spans="1:8" ht="18" customHeight="1" thickBot="1">
      <c r="A54" s="571"/>
      <c r="B54" s="575" t="s">
        <v>725</v>
      </c>
      <c r="C54" s="298"/>
      <c r="D54" s="309"/>
      <c r="E54" s="309"/>
      <c r="F54" s="309">
        <f>+G54</f>
        <v>-151249400</v>
      </c>
      <c r="G54" s="572">
        <f>-G52</f>
        <v>-151249400</v>
      </c>
      <c r="H54" s="92"/>
    </row>
    <row r="55" spans="1:8" ht="24.75" customHeight="1" thickBot="1">
      <c r="A55" s="589"/>
      <c r="B55" s="590" t="s">
        <v>171</v>
      </c>
      <c r="C55" s="591">
        <f>C50+C53+C54</f>
        <v>23002154</v>
      </c>
      <c r="D55" s="591">
        <f>D50+D53+D54</f>
        <v>132994400</v>
      </c>
      <c r="E55" s="591">
        <f>E50+E53+E54</f>
        <v>3021029662</v>
      </c>
      <c r="F55" s="591">
        <f>+G54</f>
        <v>-151249400</v>
      </c>
      <c r="G55" s="1934">
        <f>+G50+G53+G54</f>
        <v>3025776816</v>
      </c>
      <c r="H55" s="92"/>
    </row>
    <row r="56" spans="1:8" ht="18" customHeight="1">
      <c r="A56" s="855"/>
      <c r="B56" s="856" t="s">
        <v>139</v>
      </c>
      <c r="C56" s="408">
        <f>C39+C50</f>
        <v>4373485165</v>
      </c>
      <c r="D56" s="408">
        <f>D39+D50</f>
        <v>1557650746</v>
      </c>
      <c r="E56" s="408">
        <f>E39+E50</f>
        <v>5087354688</v>
      </c>
      <c r="F56" s="408"/>
      <c r="G56" s="857">
        <f>SUM(C56:E56)</f>
        <v>11018490599</v>
      </c>
      <c r="H56" s="92"/>
    </row>
    <row r="57" spans="1:9" ht="18" customHeight="1">
      <c r="A57" s="858"/>
      <c r="B57" s="859" t="s">
        <v>367</v>
      </c>
      <c r="C57" s="592">
        <f>C42+C53</f>
        <v>0</v>
      </c>
      <c r="D57" s="592">
        <f>D42+D53</f>
        <v>0</v>
      </c>
      <c r="E57" s="592">
        <f>E42+E53</f>
        <v>5364123001</v>
      </c>
      <c r="F57" s="592"/>
      <c r="G57" s="860">
        <f>SUM(C57:E57)</f>
        <v>5364123001</v>
      </c>
      <c r="H57" s="92"/>
      <c r="I57" s="98"/>
    </row>
    <row r="58" spans="1:8" ht="18" customHeight="1" thickBot="1">
      <c r="A58" s="593"/>
      <c r="B58" s="594" t="s">
        <v>725</v>
      </c>
      <c r="C58" s="409"/>
      <c r="D58" s="409"/>
      <c r="E58" s="411"/>
      <c r="F58" s="411">
        <f>+G58</f>
        <v>-5196394705</v>
      </c>
      <c r="G58" s="595">
        <f>G43+G54</f>
        <v>-5196394705</v>
      </c>
      <c r="H58" s="92"/>
    </row>
    <row r="59" spans="1:8" ht="24.75" customHeight="1" thickBot="1">
      <c r="A59" s="579"/>
      <c r="B59" s="580" t="s">
        <v>164</v>
      </c>
      <c r="C59" s="581">
        <f>C56+C57+C58</f>
        <v>4373485165</v>
      </c>
      <c r="D59" s="581">
        <f>D56+D57+D58</f>
        <v>1557650746</v>
      </c>
      <c r="E59" s="581">
        <f>E56+E57+E58</f>
        <v>10451477689</v>
      </c>
      <c r="F59" s="581">
        <f>+G58</f>
        <v>-5196394705</v>
      </c>
      <c r="G59" s="582">
        <f>G56+G57+G58</f>
        <v>11186218895</v>
      </c>
      <c r="H59" s="92"/>
    </row>
    <row r="60" spans="2:7" s="1" customFormat="1" ht="12.75">
      <c r="B60" s="604"/>
      <c r="C60" s="602"/>
      <c r="D60" s="109"/>
      <c r="E60" s="109"/>
      <c r="F60" s="109"/>
      <c r="G60" s="603"/>
    </row>
    <row r="61" spans="2:4" ht="24" customHeight="1" thickBot="1">
      <c r="B61" s="1771" t="s">
        <v>1216</v>
      </c>
      <c r="C61" s="1771"/>
      <c r="D61" s="1771"/>
    </row>
    <row r="62" spans="2:6" s="306" customFormat="1" ht="34.5" customHeight="1" thickBot="1">
      <c r="B62" s="1688" t="s">
        <v>387</v>
      </c>
      <c r="C62" s="1366" t="s">
        <v>1217</v>
      </c>
      <c r="D62" s="1367" t="s">
        <v>1218</v>
      </c>
      <c r="E62" s="302" t="s">
        <v>1051</v>
      </c>
      <c r="F62" s="1653"/>
    </row>
    <row r="63" spans="2:6" s="306" customFormat="1" ht="34.5" customHeight="1">
      <c r="B63" s="1681" t="s">
        <v>388</v>
      </c>
      <c r="C63" s="1691"/>
      <c r="D63" s="1691"/>
      <c r="E63" s="1692"/>
      <c r="F63" s="1656"/>
    </row>
    <row r="64" spans="2:6" s="306" customFormat="1" ht="34.5" customHeight="1">
      <c r="B64" s="431" t="s">
        <v>389</v>
      </c>
      <c r="C64" s="1654"/>
      <c r="D64" s="1654"/>
      <c r="E64" s="1655"/>
      <c r="F64" s="1656"/>
    </row>
    <row r="65" spans="2:6" s="306" customFormat="1" ht="34.5" customHeight="1">
      <c r="B65" s="419" t="s">
        <v>386</v>
      </c>
      <c r="C65" s="1696" t="s">
        <v>778</v>
      </c>
      <c r="D65" s="1697" t="s">
        <v>779</v>
      </c>
      <c r="E65" s="1652" t="s">
        <v>1051</v>
      </c>
      <c r="F65" s="1653"/>
    </row>
    <row r="66" spans="2:6" s="306" customFormat="1" ht="34.5" customHeight="1">
      <c r="B66" s="431" t="s">
        <v>742</v>
      </c>
      <c r="C66" s="466">
        <f>8176163-8086579</f>
        <v>89584</v>
      </c>
      <c r="D66" s="466">
        <f>+G39-G8</f>
        <v>88410449</v>
      </c>
      <c r="E66" s="1657">
        <f>+D66/(C66*1000)</f>
        <v>0.99</v>
      </c>
      <c r="F66" s="1658"/>
    </row>
    <row r="67" spans="2:6" s="306" customFormat="1" ht="34.5" customHeight="1" thickBot="1">
      <c r="B67" s="1659" t="s">
        <v>743</v>
      </c>
      <c r="C67" s="466">
        <f>1328386-142649</f>
        <v>1185737</v>
      </c>
      <c r="D67" s="1093">
        <f>+G50-G18</f>
        <v>1641476816</v>
      </c>
      <c r="E67" s="1660">
        <f>+D67/(C67*1000)</f>
        <v>1.38</v>
      </c>
      <c r="F67" s="1661"/>
    </row>
    <row r="68" spans="2:6" s="306" customFormat="1" ht="34.5" customHeight="1" thickBot="1">
      <c r="B68" s="1662" t="s">
        <v>21</v>
      </c>
      <c r="C68" s="1663">
        <f>SUM(C66:C67)</f>
        <v>1275321</v>
      </c>
      <c r="D68" s="1663">
        <f>SUM(D66:D67)</f>
        <v>1729887265</v>
      </c>
      <c r="E68" s="1664">
        <f>+D68/(C68*1000)</f>
        <v>1.36</v>
      </c>
      <c r="F68" s="1665"/>
    </row>
    <row r="69" spans="2:6" s="306" customFormat="1" ht="34.5" customHeight="1">
      <c r="B69" s="1666"/>
      <c r="C69" s="1667"/>
      <c r="D69" s="1667"/>
      <c r="E69" s="1665"/>
      <c r="F69" s="1665"/>
    </row>
    <row r="70" spans="2:4" s="306" customFormat="1" ht="34.5" customHeight="1" thickBot="1">
      <c r="B70" s="1758" t="s">
        <v>1212</v>
      </c>
      <c r="C70" s="1758"/>
      <c r="D70" s="1758"/>
    </row>
    <row r="71" spans="2:6" s="306" customFormat="1" ht="34.5" customHeight="1" thickBot="1">
      <c r="B71" s="1688"/>
      <c r="C71" s="1366" t="s">
        <v>1217</v>
      </c>
      <c r="D71" s="1367" t="s">
        <v>1218</v>
      </c>
      <c r="E71" s="302" t="s">
        <v>1051</v>
      </c>
      <c r="F71" s="1653"/>
    </row>
    <row r="72" spans="2:6" s="306" customFormat="1" ht="34.5" customHeight="1">
      <c r="B72" s="1693" t="s">
        <v>993</v>
      </c>
      <c r="C72" s="1694">
        <v>56618</v>
      </c>
      <c r="D72" s="1694">
        <f>+G40</f>
        <v>55528296</v>
      </c>
      <c r="E72" s="1695">
        <f>+D72/(C72*1000)</f>
        <v>0.980753399978805</v>
      </c>
      <c r="F72" s="1656"/>
    </row>
    <row r="73" spans="2:6" s="306" customFormat="1" ht="34.5" customHeight="1" thickBot="1">
      <c r="B73" s="1669" t="s">
        <v>1213</v>
      </c>
      <c r="C73" s="1668"/>
      <c r="D73" s="1670">
        <f>+G51</f>
        <v>112200000</v>
      </c>
      <c r="E73" s="1671"/>
      <c r="F73" s="1665"/>
    </row>
    <row r="74" spans="2:6" s="306" customFormat="1" ht="34.5" customHeight="1" thickBot="1">
      <c r="B74" s="1662" t="s">
        <v>1214</v>
      </c>
      <c r="C74" s="1672">
        <f>SUM(C72:C73)</f>
        <v>56618</v>
      </c>
      <c r="D74" s="1672">
        <f>SUM(D72:D73)</f>
        <v>167728296</v>
      </c>
      <c r="E74" s="1664">
        <f>+D74/(C74*1000)</f>
        <v>2.96</v>
      </c>
      <c r="F74" s="1665"/>
    </row>
    <row r="75" spans="2:6" s="1673" customFormat="1" ht="34.5" customHeight="1" thickBot="1">
      <c r="B75" s="1666"/>
      <c r="C75" s="1667"/>
      <c r="D75" s="1667"/>
      <c r="E75" s="1665"/>
      <c r="F75" s="1665"/>
    </row>
    <row r="76" spans="2:5" s="306" customFormat="1" ht="34.5" customHeight="1" thickBot="1">
      <c r="B76" s="1759" t="s">
        <v>1223</v>
      </c>
      <c r="C76" s="1760"/>
      <c r="D76" s="1760"/>
      <c r="E76" s="1761"/>
    </row>
    <row r="77" spans="2:6" s="306" customFormat="1" ht="34.5" customHeight="1" thickBot="1">
      <c r="B77" s="1674" t="s">
        <v>731</v>
      </c>
      <c r="C77" s="1366" t="s">
        <v>1217</v>
      </c>
      <c r="D77" s="1367" t="s">
        <v>1218</v>
      </c>
      <c r="E77" s="302" t="s">
        <v>1051</v>
      </c>
      <c r="F77" s="1653"/>
    </row>
    <row r="78" spans="2:6" s="306" customFormat="1" ht="34.5" customHeight="1" thickBot="1">
      <c r="B78" s="1675" t="s">
        <v>1215</v>
      </c>
      <c r="C78" s="1670">
        <f>1290000+41939+0</f>
        <v>1331939</v>
      </c>
      <c r="D78" s="1670">
        <f>1300000000+36615561</f>
        <v>1336615561</v>
      </c>
      <c r="E78" s="1676">
        <f>+D78/(C78*1000)</f>
        <v>1</v>
      </c>
      <c r="F78" s="1677"/>
    </row>
    <row r="79" spans="2:8" s="306" customFormat="1" ht="46.5" customHeight="1" thickBot="1">
      <c r="B79" s="1674" t="s">
        <v>732</v>
      </c>
      <c r="C79" s="1678"/>
      <c r="D79" s="1678"/>
      <c r="E79" s="1679"/>
      <c r="F79" s="1658"/>
      <c r="G79" s="1680"/>
      <c r="H79" s="1680"/>
    </row>
    <row r="80" spans="2:7" s="306" customFormat="1" ht="34.5" customHeight="1">
      <c r="B80" s="1681" t="s">
        <v>446</v>
      </c>
      <c r="C80" s="1682"/>
      <c r="D80" s="1682"/>
      <c r="E80" s="1683"/>
      <c r="F80" s="1658"/>
      <c r="G80" s="1680"/>
    </row>
    <row r="81" spans="2:6" s="306" customFormat="1" ht="34.5" customHeight="1">
      <c r="B81" s="475" t="s">
        <v>447</v>
      </c>
      <c r="C81" s="467">
        <f>C82</f>
        <v>0</v>
      </c>
      <c r="D81" s="467">
        <f>D82+D84</f>
        <v>561000000</v>
      </c>
      <c r="E81" s="1684"/>
      <c r="F81" s="1685"/>
    </row>
    <row r="82" spans="2:6" s="306" customFormat="1" ht="34.5" customHeight="1">
      <c r="B82" s="431" t="s">
        <v>733</v>
      </c>
      <c r="C82" s="466">
        <f>C83</f>
        <v>0</v>
      </c>
      <c r="D82" s="466"/>
      <c r="E82" s="1657"/>
      <c r="F82" s="1677"/>
    </row>
    <row r="83" spans="2:6" s="306" customFormat="1" ht="34.5" customHeight="1">
      <c r="B83" s="293" t="s">
        <v>204</v>
      </c>
      <c r="C83" s="1093"/>
      <c r="D83" s="1093"/>
      <c r="E83" s="1657"/>
      <c r="F83" s="1677"/>
    </row>
    <row r="84" spans="2:6" s="306" customFormat="1" ht="34.5" customHeight="1" thickBot="1">
      <c r="B84" s="1675" t="s">
        <v>494</v>
      </c>
      <c r="C84" s="1686"/>
      <c r="D84" s="466">
        <v>561000000</v>
      </c>
      <c r="E84" s="1687"/>
      <c r="F84" s="1677"/>
    </row>
    <row r="85" spans="2:6" s="306" customFormat="1" ht="34.5" customHeight="1" thickBot="1">
      <c r="B85" s="1688" t="s">
        <v>448</v>
      </c>
      <c r="C85" s="1672">
        <f>C78+C81+C80</f>
        <v>1331939</v>
      </c>
      <c r="D85" s="1672">
        <f>D78+D81+D80</f>
        <v>1897615561</v>
      </c>
      <c r="E85" s="1689">
        <f>+D85/(C85*1000)</f>
        <v>1.42</v>
      </c>
      <c r="F85" s="1690"/>
    </row>
  </sheetData>
  <sheetProtection/>
  <mergeCells count="19">
    <mergeCell ref="B61:D61"/>
    <mergeCell ref="B30:G30"/>
    <mergeCell ref="B1:G1"/>
    <mergeCell ref="E2:E3"/>
    <mergeCell ref="G2:G3"/>
    <mergeCell ref="B2:B3"/>
    <mergeCell ref="C2:C3"/>
    <mergeCell ref="D2:D3"/>
    <mergeCell ref="D31:D32"/>
    <mergeCell ref="B70:D70"/>
    <mergeCell ref="B76:E76"/>
    <mergeCell ref="E31:E32"/>
    <mergeCell ref="G31:G32"/>
    <mergeCell ref="A2:A3"/>
    <mergeCell ref="A31:A32"/>
    <mergeCell ref="B31:B32"/>
    <mergeCell ref="C31:C32"/>
    <mergeCell ref="F2:F3"/>
    <mergeCell ref="F31:F32"/>
  </mergeCells>
  <printOptions/>
  <pageMargins left="0.7480314960629921" right="0.7480314960629921" top="0.984251968503937" bottom="0.984251968503937" header="0.5118110236220472" footer="0.5118110236220472"/>
  <pageSetup fitToHeight="2" orientation="portrait" paperSize="9" scale="58" r:id="rId1"/>
  <headerFooter alignWithMargins="0">
    <oddHeader>&amp;C&amp;"Times New Roman,Normál"Összesítő az Önkormányzat 2017. évi bevételeiről és kiadásairól
(Ft-ban)&amp;R&amp;"Times New Roman,Normál"1. sz. melléklet</oddHeader>
    <oddFooter>&amp;C&amp;P</oddFooter>
  </headerFooter>
  <rowBreaks count="1" manualBreakCount="1">
    <brk id="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46">
    <pageSetUpPr fitToPage="1"/>
  </sheetPr>
  <dimension ref="A1:F41"/>
  <sheetViews>
    <sheetView workbookViewId="0" topLeftCell="A1">
      <selection activeCell="B39" sqref="B39"/>
    </sheetView>
  </sheetViews>
  <sheetFormatPr defaultColWidth="9.140625" defaultRowHeight="12.75"/>
  <cols>
    <col min="1" max="1" width="9.140625" style="79" customWidth="1"/>
    <col min="2" max="2" width="67.7109375" style="79" bestFit="1" customWidth="1"/>
    <col min="3" max="3" width="14.421875" style="79" hidden="1" customWidth="1"/>
    <col min="4" max="5" width="15.57421875" style="79" customWidth="1"/>
    <col min="6" max="6" width="14.421875" style="79" customWidth="1"/>
    <col min="7" max="16384" width="9.140625" style="79" customWidth="1"/>
  </cols>
  <sheetData>
    <row r="1" ht="13.5" thickBot="1">
      <c r="C1" s="100"/>
    </row>
    <row r="2" spans="1:6" s="100" customFormat="1" ht="26.25" thickBot="1">
      <c r="A2" s="1723" t="s">
        <v>569</v>
      </c>
      <c r="B2" s="640" t="s">
        <v>724</v>
      </c>
      <c r="C2" s="400" t="s">
        <v>462</v>
      </c>
      <c r="D2" s="400" t="s">
        <v>1100</v>
      </c>
      <c r="E2" s="400" t="s">
        <v>1101</v>
      </c>
      <c r="F2" s="302" t="s">
        <v>1051</v>
      </c>
    </row>
    <row r="3" spans="1:6" s="100" customFormat="1" ht="15">
      <c r="A3" s="636" t="s">
        <v>185</v>
      </c>
      <c r="B3" s="637" t="s">
        <v>465</v>
      </c>
      <c r="C3" s="638"/>
      <c r="D3" s="1063">
        <v>2300857</v>
      </c>
      <c r="E3" s="676">
        <f>+'1.Összesítő'!G4</f>
        <v>2119259680</v>
      </c>
      <c r="F3" s="678">
        <f>E3/(D3*1000)</f>
        <v>0.92</v>
      </c>
    </row>
    <row r="4" spans="1:6" s="100" customFormat="1" ht="15">
      <c r="A4" s="632" t="s">
        <v>193</v>
      </c>
      <c r="B4" s="633" t="s">
        <v>505</v>
      </c>
      <c r="C4" s="498"/>
      <c r="D4" s="1064">
        <v>5012597</v>
      </c>
      <c r="E4" s="501">
        <f>+'1.Összesítő'!G5</f>
        <v>5042140979</v>
      </c>
      <c r="F4" s="678">
        <f>E4/(D4*1000)</f>
        <v>1.01</v>
      </c>
    </row>
    <row r="5" spans="1:6" ht="15" customHeight="1">
      <c r="A5" s="632" t="s">
        <v>469</v>
      </c>
      <c r="B5" s="633" t="s">
        <v>464</v>
      </c>
      <c r="C5" s="309">
        <v>5531246</v>
      </c>
      <c r="D5" s="634">
        <v>773125</v>
      </c>
      <c r="E5" s="634">
        <f>+'1.Összesítő'!G6</f>
        <v>855102675</v>
      </c>
      <c r="F5" s="500">
        <f>E5/(D5*1000)</f>
        <v>1.11</v>
      </c>
    </row>
    <row r="6" spans="1:6" ht="15" customHeight="1">
      <c r="A6" s="632" t="s">
        <v>471</v>
      </c>
      <c r="B6" s="633" t="s">
        <v>466</v>
      </c>
      <c r="C6" s="309">
        <v>7528939</v>
      </c>
      <c r="D6" s="634">
        <f>'[2]2.1.Bevétel'!F93+'[2]3.1.Bevétel POHI'!F22+'[2]4. iNT ÖSSZESÍTŐ'!F8</f>
        <v>0</v>
      </c>
      <c r="E6" s="634">
        <f>+'1.Összesítő'!G7</f>
        <v>0</v>
      </c>
      <c r="F6" s="500"/>
    </row>
    <row r="7" spans="1:6" ht="15" customHeight="1">
      <c r="A7" s="644"/>
      <c r="B7" s="645" t="s">
        <v>150</v>
      </c>
      <c r="C7" s="592"/>
      <c r="D7" s="651">
        <f>SUM(D3:D6)</f>
        <v>8086579</v>
      </c>
      <c r="E7" s="651">
        <f>SUM(E3:E6)</f>
        <v>8016503334</v>
      </c>
      <c r="F7" s="684">
        <f aca="true" t="shared" si="0" ref="F7:F20">E7/(D7*1000)</f>
        <v>0.99</v>
      </c>
    </row>
    <row r="8" spans="1:6" ht="15" customHeight="1">
      <c r="A8" s="644" t="s">
        <v>477</v>
      </c>
      <c r="B8" s="575" t="s">
        <v>153</v>
      </c>
      <c r="C8" s="634"/>
      <c r="D8" s="634">
        <v>5239750</v>
      </c>
      <c r="E8" s="634">
        <f>+'1.Összesítő'!G11</f>
        <v>5194374850</v>
      </c>
      <c r="F8" s="635">
        <f t="shared" si="0"/>
        <v>0.99</v>
      </c>
    </row>
    <row r="9" spans="1:6" ht="15" customHeight="1" thickBot="1">
      <c r="A9" s="646"/>
      <c r="B9" s="583" t="s">
        <v>725</v>
      </c>
      <c r="C9" s="641">
        <v>398000</v>
      </c>
      <c r="D9" s="641">
        <v>-5086408</v>
      </c>
      <c r="E9" s="641">
        <f>+'1.Összesítő'!G12</f>
        <v>-5045145305</v>
      </c>
      <c r="F9" s="642">
        <f t="shared" si="0"/>
        <v>0.99</v>
      </c>
    </row>
    <row r="10" spans="1:6" ht="15" customHeight="1" thickBot="1">
      <c r="A10" s="659"/>
      <c r="B10" s="600" t="s">
        <v>151</v>
      </c>
      <c r="C10" s="643" t="e">
        <f>#REF!</f>
        <v>#REF!</v>
      </c>
      <c r="D10" s="677">
        <f>SUM(D7:D9)</f>
        <v>8239921</v>
      </c>
      <c r="E10" s="677">
        <f>SUM(E7:E9)</f>
        <v>8165732879</v>
      </c>
      <c r="F10" s="685">
        <f t="shared" si="0"/>
        <v>0.99</v>
      </c>
    </row>
    <row r="11" spans="1:6" ht="15" customHeight="1">
      <c r="A11" s="636" t="s">
        <v>104</v>
      </c>
      <c r="B11" s="658" t="s">
        <v>675</v>
      </c>
      <c r="C11" s="652">
        <v>4242351</v>
      </c>
      <c r="D11" s="652">
        <v>3178846</v>
      </c>
      <c r="E11" s="652">
        <f>+'1.Összesítő'!G33</f>
        <v>3304098806</v>
      </c>
      <c r="F11" s="653">
        <f t="shared" si="0"/>
        <v>1.04</v>
      </c>
    </row>
    <row r="12" spans="1:6" ht="15" customHeight="1">
      <c r="A12" s="632" t="s">
        <v>106</v>
      </c>
      <c r="B12" s="647" t="s">
        <v>674</v>
      </c>
      <c r="C12" s="634">
        <v>1325315</v>
      </c>
      <c r="D12" s="634">
        <v>893074</v>
      </c>
      <c r="E12" s="634">
        <f>+'1.Összesítő'!G34</f>
        <v>797411871</v>
      </c>
      <c r="F12" s="635">
        <f t="shared" si="0"/>
        <v>0.89</v>
      </c>
    </row>
    <row r="13" spans="1:6" ht="15" customHeight="1">
      <c r="A13" s="632" t="s">
        <v>108</v>
      </c>
      <c r="B13" s="647" t="s">
        <v>463</v>
      </c>
      <c r="C13" s="634">
        <v>2355890</v>
      </c>
      <c r="D13" s="634">
        <v>3468104</v>
      </c>
      <c r="E13" s="634">
        <f>+'1.Összesítő'!G35</f>
        <v>3321545377</v>
      </c>
      <c r="F13" s="635">
        <f t="shared" si="0"/>
        <v>0.96</v>
      </c>
    </row>
    <row r="14" spans="1:6" ht="15" customHeight="1">
      <c r="A14" s="632" t="s">
        <v>110</v>
      </c>
      <c r="B14" s="647" t="s">
        <v>291</v>
      </c>
      <c r="C14" s="634">
        <v>215751</v>
      </c>
      <c r="D14" s="634">
        <v>123546</v>
      </c>
      <c r="E14" s="634">
        <f>+'1.Összesítő'!G36</f>
        <v>117500000</v>
      </c>
      <c r="F14" s="635">
        <f t="shared" si="0"/>
        <v>0.95</v>
      </c>
    </row>
    <row r="15" spans="1:6" ht="15">
      <c r="A15" s="632" t="s">
        <v>112</v>
      </c>
      <c r="B15" s="575" t="s">
        <v>113</v>
      </c>
      <c r="C15" s="634"/>
      <c r="D15" s="634">
        <v>632472</v>
      </c>
      <c r="E15" s="634">
        <f>+'1.Összesítő'!G37</f>
        <v>901167729</v>
      </c>
      <c r="F15" s="635">
        <f t="shared" si="0"/>
        <v>1.42</v>
      </c>
    </row>
    <row r="16" spans="1:6" ht="15" customHeight="1">
      <c r="A16" s="632"/>
      <c r="B16" s="429" t="s">
        <v>165</v>
      </c>
      <c r="C16" s="634"/>
      <c r="D16" s="634">
        <v>-119879</v>
      </c>
      <c r="E16" s="634">
        <f>+'1.Összesítő'!G38</f>
        <v>-336810000</v>
      </c>
      <c r="F16" s="635">
        <f t="shared" si="0"/>
        <v>2.81</v>
      </c>
    </row>
    <row r="17" spans="1:6" ht="15" customHeight="1">
      <c r="A17" s="632"/>
      <c r="B17" s="645" t="s">
        <v>166</v>
      </c>
      <c r="C17" s="634">
        <v>215751</v>
      </c>
      <c r="D17" s="651">
        <f>SUM(D11:D16)</f>
        <v>8176163</v>
      </c>
      <c r="E17" s="651">
        <f>SUM(E11:E16)</f>
        <v>8104913783</v>
      </c>
      <c r="F17" s="684">
        <f t="shared" si="0"/>
        <v>0.99</v>
      </c>
    </row>
    <row r="18" spans="1:6" ht="15" customHeight="1">
      <c r="A18" s="632" t="s">
        <v>129</v>
      </c>
      <c r="B18" s="575" t="s">
        <v>167</v>
      </c>
      <c r="C18" s="634">
        <v>393035</v>
      </c>
      <c r="D18" s="634">
        <v>5143026</v>
      </c>
      <c r="E18" s="634">
        <f>+'1.Összesítő'!G42</f>
        <v>5100673601</v>
      </c>
      <c r="F18" s="635">
        <f t="shared" si="0"/>
        <v>0.99</v>
      </c>
    </row>
    <row r="19" spans="1:6" ht="15" customHeight="1" thickBot="1">
      <c r="A19" s="650"/>
      <c r="B19" s="583" t="s">
        <v>725</v>
      </c>
      <c r="C19" s="641"/>
      <c r="D19" s="641">
        <v>-5086408</v>
      </c>
      <c r="E19" s="641">
        <f>+'1.Összesítő'!G43</f>
        <v>-5045145305</v>
      </c>
      <c r="F19" s="642">
        <f t="shared" si="0"/>
        <v>0.99</v>
      </c>
    </row>
    <row r="20" spans="1:6" ht="15" customHeight="1" thickBot="1">
      <c r="A20" s="599"/>
      <c r="B20" s="600" t="s">
        <v>168</v>
      </c>
      <c r="C20" s="643"/>
      <c r="D20" s="677">
        <f>SUM(D17:D19)</f>
        <v>8232781</v>
      </c>
      <c r="E20" s="677">
        <f>SUM(E17:E19)</f>
        <v>8160442079</v>
      </c>
      <c r="F20" s="685">
        <f t="shared" si="0"/>
        <v>0.99</v>
      </c>
    </row>
    <row r="21" ht="12.75">
      <c r="B21" s="1776"/>
    </row>
    <row r="22" ht="13.5" thickBot="1">
      <c r="B22" s="1776"/>
    </row>
    <row r="23" spans="1:6" ht="26.25" thickBot="1">
      <c r="A23" s="1723" t="s">
        <v>569</v>
      </c>
      <c r="B23" s="640" t="s">
        <v>20</v>
      </c>
      <c r="C23" s="400" t="s">
        <v>462</v>
      </c>
      <c r="D23" s="400" t="s">
        <v>1100</v>
      </c>
      <c r="E23" s="400" t="s">
        <v>1101</v>
      </c>
      <c r="F23" s="302" t="s">
        <v>1051</v>
      </c>
    </row>
    <row r="24" spans="1:6" ht="15" customHeight="1">
      <c r="A24" s="636" t="s">
        <v>187</v>
      </c>
      <c r="B24" s="584" t="s">
        <v>145</v>
      </c>
      <c r="C24" s="652" t="e">
        <f>#REF!</f>
        <v>#REF!</v>
      </c>
      <c r="D24" s="652">
        <v>49798</v>
      </c>
      <c r="E24" s="652">
        <f>+'1.Összesítő'!G14</f>
        <v>1019000000</v>
      </c>
      <c r="F24" s="653">
        <f aca="true" t="shared" si="1" ref="F24:F38">E24/(D24*1000)</f>
        <v>20.46</v>
      </c>
    </row>
    <row r="25" spans="1:6" ht="15" customHeight="1">
      <c r="A25" s="632" t="s">
        <v>146</v>
      </c>
      <c r="B25" s="575" t="s">
        <v>157</v>
      </c>
      <c r="C25" s="634" t="e">
        <f>#REF!+#REF!</f>
        <v>#REF!</v>
      </c>
      <c r="D25" s="634">
        <v>78867</v>
      </c>
      <c r="E25" s="634">
        <f>+'1.Összesítő'!G16</f>
        <v>233700000</v>
      </c>
      <c r="F25" s="635">
        <f t="shared" si="1"/>
        <v>2.96</v>
      </c>
    </row>
    <row r="26" spans="1:6" ht="15" customHeight="1">
      <c r="A26" s="632" t="s">
        <v>147</v>
      </c>
      <c r="B26" s="575" t="s">
        <v>474</v>
      </c>
      <c r="C26" s="634">
        <v>99998</v>
      </c>
      <c r="D26" s="634">
        <v>13984</v>
      </c>
      <c r="E26" s="634">
        <f>+'1.Összesítő'!G17</f>
        <v>19400000</v>
      </c>
      <c r="F26" s="635">
        <f t="shared" si="1"/>
        <v>1.39</v>
      </c>
    </row>
    <row r="27" spans="1:6" ht="15" customHeight="1">
      <c r="A27" s="632"/>
      <c r="B27" s="645" t="s">
        <v>155</v>
      </c>
      <c r="C27" s="634">
        <v>800635</v>
      </c>
      <c r="D27" s="651">
        <f>SUM(D24:D26)</f>
        <v>142649</v>
      </c>
      <c r="E27" s="651">
        <f>SUM(E24:E26)</f>
        <v>1272100000</v>
      </c>
      <c r="F27" s="684">
        <f t="shared" si="1"/>
        <v>8.92</v>
      </c>
    </row>
    <row r="28" spans="1:6" ht="15" customHeight="1">
      <c r="A28" s="632" t="s">
        <v>477</v>
      </c>
      <c r="B28" s="575" t="s">
        <v>154</v>
      </c>
      <c r="C28" s="634"/>
      <c r="D28" s="634">
        <v>1374453</v>
      </c>
      <c r="E28" s="634">
        <f>+'1.Összesítő'!G22</f>
        <v>1899635416</v>
      </c>
      <c r="F28" s="635">
        <f t="shared" si="1"/>
        <v>1.38</v>
      </c>
    </row>
    <row r="29" spans="1:6" ht="15" customHeight="1" thickBot="1">
      <c r="A29" s="682"/>
      <c r="B29" s="583" t="s">
        <v>725</v>
      </c>
      <c r="C29" s="683"/>
      <c r="D29" s="683">
        <v>-195856</v>
      </c>
      <c r="E29" s="683">
        <f>+'1.Összesítő'!G23</f>
        <v>-151249400</v>
      </c>
      <c r="F29" s="635">
        <f t="shared" si="1"/>
        <v>0.77</v>
      </c>
    </row>
    <row r="30" spans="1:6" ht="15" customHeight="1" thickBot="1">
      <c r="A30" s="639"/>
      <c r="B30" s="600" t="s">
        <v>156</v>
      </c>
      <c r="C30" s="643"/>
      <c r="D30" s="677">
        <f>SUM(D27:D29)</f>
        <v>1321246</v>
      </c>
      <c r="E30" s="677">
        <f>SUM(E27:E29)</f>
        <v>3020486016</v>
      </c>
      <c r="F30" s="685">
        <f t="shared" si="1"/>
        <v>2.29</v>
      </c>
    </row>
    <row r="31" spans="1:6" ht="15" customHeight="1">
      <c r="A31" s="631" t="s">
        <v>548</v>
      </c>
      <c r="B31" s="574" t="s">
        <v>121</v>
      </c>
      <c r="C31" s="654"/>
      <c r="D31" s="655">
        <v>918676</v>
      </c>
      <c r="E31" s="655">
        <f>+'1.Összesítő'!G45</f>
        <v>2278180516</v>
      </c>
      <c r="F31" s="656">
        <f t="shared" si="1"/>
        <v>2.48</v>
      </c>
    </row>
    <row r="32" spans="1:6" ht="15" customHeight="1">
      <c r="A32" s="632" t="s">
        <v>122</v>
      </c>
      <c r="B32" s="575" t="s">
        <v>123</v>
      </c>
      <c r="C32" s="634">
        <v>4500</v>
      </c>
      <c r="D32" s="634">
        <v>266657</v>
      </c>
      <c r="E32" s="634">
        <f>+'1.Összesítő'!G46</f>
        <v>262804239</v>
      </c>
      <c r="F32" s="635">
        <f t="shared" si="1"/>
        <v>0.99</v>
      </c>
    </row>
    <row r="33" spans="1:6" ht="15" customHeight="1">
      <c r="A33" s="632" t="s">
        <v>124</v>
      </c>
      <c r="B33" s="575" t="s">
        <v>125</v>
      </c>
      <c r="C33" s="634">
        <v>43135</v>
      </c>
      <c r="D33" s="634">
        <v>23174</v>
      </c>
      <c r="E33" s="634">
        <f>'2.3.Kiad.'!G20+'3.2.Kiad. POHI'!G12+'4. iNT ÖSSZESÍTŐ'!G38</f>
        <v>35782061</v>
      </c>
      <c r="F33" s="635">
        <f t="shared" si="1"/>
        <v>1.54</v>
      </c>
    </row>
    <row r="34" spans="1:6" ht="15" customHeight="1">
      <c r="A34" s="632"/>
      <c r="B34" s="575" t="s">
        <v>630</v>
      </c>
      <c r="C34" s="634">
        <v>770682</v>
      </c>
      <c r="D34" s="634">
        <v>119879</v>
      </c>
      <c r="E34" s="634">
        <f>+'1.Összesítő'!G49</f>
        <v>336810000</v>
      </c>
      <c r="F34" s="635">
        <f t="shared" si="1"/>
        <v>2.81</v>
      </c>
    </row>
    <row r="35" spans="1:6" ht="15" customHeight="1">
      <c r="A35" s="632"/>
      <c r="B35" s="645" t="s">
        <v>169</v>
      </c>
      <c r="C35" s="634"/>
      <c r="D35" s="651">
        <f>SUM(D31:D34)</f>
        <v>1328386</v>
      </c>
      <c r="E35" s="651">
        <f>SUM(E31:E34)</f>
        <v>2913576816</v>
      </c>
      <c r="F35" s="684">
        <f t="shared" si="1"/>
        <v>2.19</v>
      </c>
    </row>
    <row r="36" spans="1:6" ht="15" customHeight="1">
      <c r="A36" s="632" t="s">
        <v>129</v>
      </c>
      <c r="B36" s="575" t="s">
        <v>170</v>
      </c>
      <c r="C36" s="634"/>
      <c r="D36" s="634">
        <v>195856</v>
      </c>
      <c r="E36" s="634">
        <f>+'1.Összesítő'!G53</f>
        <v>263449400</v>
      </c>
      <c r="F36" s="635">
        <f t="shared" si="1"/>
        <v>1.35</v>
      </c>
    </row>
    <row r="37" spans="1:6" ht="15" customHeight="1" thickBot="1">
      <c r="A37" s="682"/>
      <c r="B37" s="583" t="s">
        <v>725</v>
      </c>
      <c r="C37" s="683"/>
      <c r="D37" s="683">
        <v>-195856</v>
      </c>
      <c r="E37" s="683">
        <f>+'1.Összesítő'!G54</f>
        <v>-151249400</v>
      </c>
      <c r="F37" s="635">
        <f t="shared" si="1"/>
        <v>0.77</v>
      </c>
    </row>
    <row r="38" spans="1:6" ht="15" customHeight="1" thickBot="1">
      <c r="A38" s="657"/>
      <c r="B38" s="600" t="s">
        <v>171</v>
      </c>
      <c r="C38" s="643"/>
      <c r="D38" s="677">
        <f>SUM(D35:D37)</f>
        <v>1328386</v>
      </c>
      <c r="E38" s="677">
        <f>SUM(E35:E37)</f>
        <v>3025776816</v>
      </c>
      <c r="F38" s="685">
        <f t="shared" si="1"/>
        <v>2.28</v>
      </c>
    </row>
    <row r="39" spans="2:6" ht="15.75" thickBot="1">
      <c r="B39" s="681"/>
      <c r="C39" s="277"/>
      <c r="D39" s="277"/>
      <c r="E39" s="680"/>
      <c r="F39" s="679"/>
    </row>
    <row r="40" spans="1:6" ht="15" customHeight="1">
      <c r="A40" s="1777" t="s">
        <v>339</v>
      </c>
      <c r="B40" s="1778"/>
      <c r="C40" s="897" t="e">
        <f>SUM(#REF!)+#REF!</f>
        <v>#REF!</v>
      </c>
      <c r="D40" s="898">
        <f>D10+D30</f>
        <v>9561167</v>
      </c>
      <c r="E40" s="898">
        <f>E10+E30</f>
        <v>11186218895</v>
      </c>
      <c r="F40" s="899">
        <f>E40/(D40*1000)</f>
        <v>1.17</v>
      </c>
    </row>
    <row r="41" spans="1:6" ht="15" customHeight="1" thickBot="1">
      <c r="A41" s="1779" t="s">
        <v>340</v>
      </c>
      <c r="B41" s="1780"/>
      <c r="C41" s="900" t="e">
        <f>SUM(#REF!)+#REF!</f>
        <v>#REF!</v>
      </c>
      <c r="D41" s="901">
        <f>D20+D38</f>
        <v>9561167</v>
      </c>
      <c r="E41" s="901">
        <f>E20+E38</f>
        <v>11186218895</v>
      </c>
      <c r="F41" s="902">
        <f>E41/(D41*1000)</f>
        <v>1.17</v>
      </c>
    </row>
  </sheetData>
  <sheetProtection/>
  <mergeCells count="3">
    <mergeCell ref="B21:B22"/>
    <mergeCell ref="A40:B40"/>
    <mergeCell ref="A41:B4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1" r:id="rId1"/>
  <headerFooter alignWithMargins="0">
    <oddHeader>&amp;LTÁJÉKOZTATÓ TÁBLA!&amp;C&amp;"Times New Roman,Normál"
PESTERZSÉBET ÖNKORMÁNYZATA 2017. ÉVI ÖSSZEVONT KÖLTSÉGVETÉSI MÉRLEGE&amp;R&amp;"Times New Roman,Normál"1.1.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51">
    <pageSetUpPr fitToPage="1"/>
  </sheetPr>
  <dimension ref="A1:N15"/>
  <sheetViews>
    <sheetView workbookViewId="0" topLeftCell="B1">
      <selection activeCell="B3" sqref="B3:N3"/>
    </sheetView>
  </sheetViews>
  <sheetFormatPr defaultColWidth="9.140625" defaultRowHeight="12.75"/>
  <cols>
    <col min="1" max="1" width="8.00390625" style="1369" hidden="1" customWidth="1"/>
    <col min="2" max="4" width="9.140625" style="1369" customWidth="1"/>
    <col min="5" max="5" width="27.421875" style="1369" customWidth="1"/>
    <col min="6" max="6" width="10.57421875" style="1369" customWidth="1"/>
    <col min="7" max="7" width="9.7109375" style="1369" bestFit="1" customWidth="1"/>
    <col min="8" max="8" width="10.57421875" style="1369" bestFit="1" customWidth="1"/>
    <col min="9" max="9" width="9.140625" style="1369" customWidth="1"/>
    <col min="10" max="10" width="9.7109375" style="1369" bestFit="1" customWidth="1"/>
    <col min="11" max="11" width="10.57421875" style="1369" bestFit="1" customWidth="1"/>
    <col min="12" max="13" width="9.140625" style="1369" customWidth="1"/>
    <col min="14" max="14" width="12.8515625" style="1369" customWidth="1"/>
    <col min="15" max="16384" width="9.140625" style="1369" customWidth="1"/>
  </cols>
  <sheetData>
    <row r="1" spans="1:14" ht="15.75">
      <c r="A1" s="1368"/>
      <c r="B1" s="1784" t="s">
        <v>753</v>
      </c>
      <c r="C1" s="1785"/>
      <c r="D1" s="1785"/>
      <c r="E1" s="1786"/>
      <c r="F1" s="1790" t="s">
        <v>1010</v>
      </c>
      <c r="G1" s="1791"/>
      <c r="H1" s="1792"/>
      <c r="I1" s="1790" t="s">
        <v>1040</v>
      </c>
      <c r="J1" s="1791"/>
      <c r="K1" s="1792"/>
      <c r="L1" s="1790" t="s">
        <v>1041</v>
      </c>
      <c r="M1" s="1791"/>
      <c r="N1" s="1792"/>
    </row>
    <row r="2" spans="1:14" ht="16.5" thickBot="1">
      <c r="A2" s="1368"/>
      <c r="B2" s="1787"/>
      <c r="C2" s="1788"/>
      <c r="D2" s="1788"/>
      <c r="E2" s="1789"/>
      <c r="F2" s="1793" t="s">
        <v>1179</v>
      </c>
      <c r="G2" s="1794"/>
      <c r="H2" s="1795"/>
      <c r="I2" s="1793" t="s">
        <v>1179</v>
      </c>
      <c r="J2" s="1794"/>
      <c r="K2" s="1795"/>
      <c r="L2" s="1793" t="s">
        <v>1179</v>
      </c>
      <c r="M2" s="1794"/>
      <c r="N2" s="1795"/>
    </row>
    <row r="3" spans="1:14" ht="19.5" customHeight="1" thickBot="1">
      <c r="A3" s="1368"/>
      <c r="B3" s="1799" t="s">
        <v>769</v>
      </c>
      <c r="C3" s="1800"/>
      <c r="D3" s="1800"/>
      <c r="E3" s="1801"/>
      <c r="F3" s="1370"/>
      <c r="G3" s="1371"/>
      <c r="H3" s="1372"/>
      <c r="I3" s="1370"/>
      <c r="J3" s="1371"/>
      <c r="K3" s="1372"/>
      <c r="L3" s="1370"/>
      <c r="M3" s="1371"/>
      <c r="N3" s="1372"/>
    </row>
    <row r="4" spans="2:14" ht="29.25" customHeight="1" thickBot="1">
      <c r="B4" s="1796" t="s">
        <v>142</v>
      </c>
      <c r="C4" s="1797"/>
      <c r="D4" s="1797"/>
      <c r="E4" s="1798"/>
      <c r="F4" s="1802">
        <f>112200000+11659000+23560878</f>
        <v>147419878</v>
      </c>
      <c r="G4" s="1803"/>
      <c r="H4" s="1804"/>
      <c r="I4" s="1802">
        <f>112200000+11659000+23560878</f>
        <v>147419878</v>
      </c>
      <c r="J4" s="1803"/>
      <c r="K4" s="1804"/>
      <c r="L4" s="1802">
        <f>112200000+11659000+23560878</f>
        <v>147419878</v>
      </c>
      <c r="M4" s="1803"/>
      <c r="N4" s="1804"/>
    </row>
    <row r="5" spans="2:14" ht="29.25" customHeight="1" thickBot="1">
      <c r="B5" s="1821" t="s">
        <v>1180</v>
      </c>
      <c r="C5" s="1822"/>
      <c r="D5" s="1822"/>
      <c r="E5" s="1823"/>
      <c r="F5" s="1815">
        <f>721414336+84723628</f>
        <v>806137964</v>
      </c>
      <c r="G5" s="1816"/>
      <c r="H5" s="1817"/>
      <c r="I5" s="1815">
        <f>107348462+50621494</f>
        <v>157969956</v>
      </c>
      <c r="J5" s="1816"/>
      <c r="K5" s="1817"/>
      <c r="L5" s="1815">
        <v>22289544</v>
      </c>
      <c r="M5" s="1816"/>
      <c r="N5" s="1817"/>
    </row>
    <row r="6" spans="2:14" ht="29.25" customHeight="1" thickBot="1">
      <c r="B6" s="1824" t="s">
        <v>385</v>
      </c>
      <c r="C6" s="1825"/>
      <c r="D6" s="1825"/>
      <c r="E6" s="1826"/>
      <c r="F6" s="1373"/>
      <c r="G6" s="1374"/>
      <c r="H6" s="1375">
        <f>SUM(H5:H5)</f>
        <v>0</v>
      </c>
      <c r="I6" s="1376"/>
      <c r="J6" s="1374"/>
      <c r="K6" s="1375">
        <f>SUM(K4:K5)</f>
        <v>0</v>
      </c>
      <c r="L6" s="1376"/>
      <c r="M6" s="1374"/>
      <c r="N6" s="1375">
        <f>SUM(N4:N5)</f>
        <v>0</v>
      </c>
    </row>
    <row r="7" spans="2:11" ht="19.5" customHeight="1">
      <c r="B7" s="1377"/>
      <c r="C7" s="1377"/>
      <c r="D7" s="1377"/>
      <c r="E7" s="1377"/>
      <c r="F7" s="1378"/>
      <c r="G7" s="1378"/>
      <c r="H7" s="1378"/>
      <c r="I7" s="1379"/>
      <c r="J7" s="1379"/>
      <c r="K7" s="1379"/>
    </row>
    <row r="8" spans="2:11" ht="19.5" customHeight="1" thickBot="1">
      <c r="B8" s="1524"/>
      <c r="C8" s="1524"/>
      <c r="D8" s="1524"/>
      <c r="E8" s="1524"/>
      <c r="F8" s="1525"/>
      <c r="G8" s="1525"/>
      <c r="H8" s="1525"/>
      <c r="I8" s="1526"/>
      <c r="J8" s="1526"/>
      <c r="K8" s="1526"/>
    </row>
    <row r="9" spans="1:14" ht="31.5" customHeight="1" thickBot="1">
      <c r="A9" s="1527"/>
      <c r="B9" s="1827" t="s">
        <v>144</v>
      </c>
      <c r="C9" s="1828"/>
      <c r="D9" s="1828"/>
      <c r="E9" s="1829"/>
      <c r="F9" s="1799" t="s">
        <v>1009</v>
      </c>
      <c r="G9" s="1800"/>
      <c r="H9" s="1801"/>
      <c r="I9" s="1806" t="s">
        <v>1042</v>
      </c>
      <c r="J9" s="1807"/>
      <c r="K9" s="1808"/>
      <c r="L9" s="1806" t="s">
        <v>1043</v>
      </c>
      <c r="M9" s="1807"/>
      <c r="N9" s="1808"/>
    </row>
    <row r="10" spans="1:14" ht="51" customHeight="1">
      <c r="A10" s="1528"/>
      <c r="B10" s="1809" t="s">
        <v>203</v>
      </c>
      <c r="C10" s="1810"/>
      <c r="D10" s="1810"/>
      <c r="E10" s="1811"/>
      <c r="F10" s="1812" t="s">
        <v>1206</v>
      </c>
      <c r="G10" s="1813"/>
      <c r="H10" s="1814"/>
      <c r="I10" s="1812" t="s">
        <v>1206</v>
      </c>
      <c r="J10" s="1813"/>
      <c r="K10" s="1814"/>
      <c r="L10" s="1812" t="s">
        <v>1206</v>
      </c>
      <c r="M10" s="1813"/>
      <c r="N10" s="1814"/>
    </row>
    <row r="11" spans="1:14" ht="57" customHeight="1">
      <c r="A11" s="1528"/>
      <c r="B11" s="1809" t="s">
        <v>374</v>
      </c>
      <c r="C11" s="1810"/>
      <c r="D11" s="1810"/>
      <c r="E11" s="1811"/>
      <c r="F11" s="1812" t="s">
        <v>1206</v>
      </c>
      <c r="G11" s="1813"/>
      <c r="H11" s="1814"/>
      <c r="I11" s="1812" t="s">
        <v>1206</v>
      </c>
      <c r="J11" s="1813"/>
      <c r="K11" s="1814"/>
      <c r="L11" s="1812" t="s">
        <v>1206</v>
      </c>
      <c r="M11" s="1813"/>
      <c r="N11" s="1814"/>
    </row>
    <row r="12" spans="1:14" ht="45.75" customHeight="1" thickBot="1">
      <c r="A12" s="1529"/>
      <c r="B12" s="1781" t="s">
        <v>373</v>
      </c>
      <c r="C12" s="1782"/>
      <c r="D12" s="1782"/>
      <c r="E12" s="1783"/>
      <c r="F12" s="1818" t="s">
        <v>1206</v>
      </c>
      <c r="G12" s="1819"/>
      <c r="H12" s="1820"/>
      <c r="I12" s="1818" t="s">
        <v>1206</v>
      </c>
      <c r="J12" s="1819"/>
      <c r="K12" s="1820"/>
      <c r="L12" s="1818" t="s">
        <v>1206</v>
      </c>
      <c r="M12" s="1819"/>
      <c r="N12" s="1820"/>
    </row>
    <row r="13" spans="2:11" ht="21" customHeight="1">
      <c r="B13" s="1380"/>
      <c r="C13" s="1380"/>
      <c r="D13" s="1380"/>
      <c r="E13" s="1380"/>
      <c r="F13" s="1380"/>
      <c r="G13" s="1380"/>
      <c r="H13" s="1380"/>
      <c r="I13" s="1380"/>
      <c r="J13" s="1380"/>
      <c r="K13" s="1380"/>
    </row>
    <row r="14" spans="2:5" ht="15.75">
      <c r="B14" s="1114" t="s">
        <v>143</v>
      </c>
      <c r="E14" s="1380"/>
    </row>
    <row r="15" spans="2:11" ht="30.75" customHeight="1">
      <c r="B15" s="1805"/>
      <c r="C15" s="1805"/>
      <c r="D15" s="1805"/>
      <c r="E15" s="1805"/>
      <c r="F15" s="1805"/>
      <c r="G15" s="1805"/>
      <c r="H15" s="1805"/>
      <c r="I15" s="1805"/>
      <c r="J15" s="1805"/>
      <c r="K15" s="1805"/>
    </row>
  </sheetData>
  <sheetProtection/>
  <mergeCells count="34">
    <mergeCell ref="L5:N5"/>
    <mergeCell ref="L11:N11"/>
    <mergeCell ref="L12:N12"/>
    <mergeCell ref="B5:E5"/>
    <mergeCell ref="B6:E6"/>
    <mergeCell ref="B9:E9"/>
    <mergeCell ref="I12:K12"/>
    <mergeCell ref="I10:K10"/>
    <mergeCell ref="B10:E10"/>
    <mergeCell ref="F12:H12"/>
    <mergeCell ref="I1:K1"/>
    <mergeCell ref="I2:K2"/>
    <mergeCell ref="I4:K4"/>
    <mergeCell ref="F10:H10"/>
    <mergeCell ref="F5:H5"/>
    <mergeCell ref="I5:K5"/>
    <mergeCell ref="F9:H9"/>
    <mergeCell ref="B15:K15"/>
    <mergeCell ref="I9:K9"/>
    <mergeCell ref="B11:E11"/>
    <mergeCell ref="F11:H11"/>
    <mergeCell ref="I11:K11"/>
    <mergeCell ref="L1:N1"/>
    <mergeCell ref="L2:N2"/>
    <mergeCell ref="L4:N4"/>
    <mergeCell ref="L9:N9"/>
    <mergeCell ref="L10:N10"/>
    <mergeCell ref="B12:E12"/>
    <mergeCell ref="B1:E2"/>
    <mergeCell ref="F1:H1"/>
    <mergeCell ref="F2:H2"/>
    <mergeCell ref="B4:E4"/>
    <mergeCell ref="B3:E3"/>
    <mergeCell ref="F4:H4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60" r:id="rId1"/>
  <headerFooter alignWithMargins="0">
    <oddHeader>&amp;LTÁJÉKOZTATÓ TÁBLA!
&amp;C
&amp;"Times New Roman,Normál"Pesterzsébet Önkormányzata több éves kihatással járó döntései 
(Ft-ban)&amp;R&amp;"Times New Roman,Normál"1.2. sz. melléklet&amp;"MS Sans Serif,Normál"t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G48"/>
  <sheetViews>
    <sheetView zoomScalePageLayoutView="0" workbookViewId="0" topLeftCell="A1">
      <selection activeCell="H49" sqref="H49"/>
    </sheetView>
  </sheetViews>
  <sheetFormatPr defaultColWidth="9.140625" defaultRowHeight="12.75"/>
  <cols>
    <col min="2" max="2" width="57.140625" style="0" bestFit="1" customWidth="1"/>
    <col min="3" max="3" width="15.421875" style="0" customWidth="1"/>
    <col min="4" max="4" width="14.57421875" style="0" customWidth="1"/>
    <col min="5" max="5" width="15.421875" style="0" customWidth="1"/>
  </cols>
  <sheetData>
    <row r="1" spans="1:7" ht="13.5" thickBot="1">
      <c r="A1" s="1714"/>
      <c r="B1" s="1830" t="s">
        <v>450</v>
      </c>
      <c r="C1" s="1830"/>
      <c r="D1" s="1830"/>
      <c r="E1" s="1831"/>
      <c r="F1" s="92"/>
      <c r="G1" s="92"/>
    </row>
    <row r="2" spans="1:7" ht="12.75" customHeight="1">
      <c r="A2" s="1766" t="s">
        <v>569</v>
      </c>
      <c r="B2" s="1769" t="s">
        <v>521</v>
      </c>
      <c r="C2" s="1762" t="s">
        <v>1221</v>
      </c>
      <c r="D2" s="1762" t="s">
        <v>1220</v>
      </c>
      <c r="E2" s="1832" t="s">
        <v>1219</v>
      </c>
      <c r="F2" s="92"/>
      <c r="G2" s="92"/>
    </row>
    <row r="3" spans="1:7" ht="12.75" customHeight="1" thickBot="1">
      <c r="A3" s="1767"/>
      <c r="B3" s="1775"/>
      <c r="C3" s="1773"/>
      <c r="D3" s="1773"/>
      <c r="E3" s="1833"/>
      <c r="F3" s="92"/>
      <c r="G3" s="92"/>
    </row>
    <row r="4" spans="1:7" ht="15" customHeight="1">
      <c r="A4" s="660" t="s">
        <v>185</v>
      </c>
      <c r="B4" s="574" t="s">
        <v>186</v>
      </c>
      <c r="C4" s="671">
        <f>'1.Összesítő'!G4</f>
        <v>2119259680</v>
      </c>
      <c r="D4" s="671">
        <v>2388915093</v>
      </c>
      <c r="E4" s="672">
        <v>2345190</v>
      </c>
      <c r="F4" s="92"/>
      <c r="G4" s="92"/>
    </row>
    <row r="5" spans="1:7" ht="15" customHeight="1">
      <c r="A5" s="649" t="s">
        <v>193</v>
      </c>
      <c r="B5" s="575" t="s">
        <v>148</v>
      </c>
      <c r="C5" s="298">
        <f>'1.Összesítő'!G5</f>
        <v>5042140979</v>
      </c>
      <c r="D5" s="298">
        <v>5115358314</v>
      </c>
      <c r="E5" s="573">
        <v>5001254</v>
      </c>
      <c r="F5" s="92"/>
      <c r="G5" s="92"/>
    </row>
    <row r="6" spans="1:7" ht="15" customHeight="1">
      <c r="A6" s="649" t="s">
        <v>469</v>
      </c>
      <c r="B6" s="575" t="s">
        <v>149</v>
      </c>
      <c r="C6" s="298">
        <f>'1.Összesítő'!G6</f>
        <v>855102675</v>
      </c>
      <c r="D6" s="391">
        <v>808282391</v>
      </c>
      <c r="E6" s="392">
        <v>847525</v>
      </c>
      <c r="F6" s="92"/>
      <c r="G6" s="92"/>
    </row>
    <row r="7" spans="1:7" ht="15" customHeight="1">
      <c r="A7" s="649"/>
      <c r="B7" s="575" t="s">
        <v>506</v>
      </c>
      <c r="C7" s="298"/>
      <c r="D7" s="298"/>
      <c r="E7" s="573"/>
      <c r="F7" s="92"/>
      <c r="G7" s="92"/>
    </row>
    <row r="8" spans="1:7" ht="15" customHeight="1">
      <c r="A8" s="649" t="s">
        <v>471</v>
      </c>
      <c r="B8" s="575" t="s">
        <v>475</v>
      </c>
      <c r="C8" s="298">
        <f>'1.Összesítő'!G7</f>
        <v>0</v>
      </c>
      <c r="D8" s="298">
        <v>5817405</v>
      </c>
      <c r="E8" s="573">
        <v>6185</v>
      </c>
      <c r="F8" s="92"/>
      <c r="G8" s="92"/>
    </row>
    <row r="9" spans="1:7" ht="15" customHeight="1">
      <c r="A9" s="648"/>
      <c r="B9" s="645" t="s">
        <v>150</v>
      </c>
      <c r="C9" s="673">
        <f>SUM(C4:C8)</f>
        <v>8016503334</v>
      </c>
      <c r="D9" s="673">
        <f>SUM(D4:D8)</f>
        <v>8318373203</v>
      </c>
      <c r="E9" s="687">
        <f>SUM(E4:E8)</f>
        <v>8200154</v>
      </c>
      <c r="F9" s="92"/>
      <c r="G9" s="92"/>
    </row>
    <row r="10" spans="1:7" ht="15" customHeight="1">
      <c r="A10" s="649" t="s">
        <v>477</v>
      </c>
      <c r="B10" s="575" t="s">
        <v>153</v>
      </c>
      <c r="C10" s="298">
        <f>'1.Összesítő'!G11</f>
        <v>5194374850</v>
      </c>
      <c r="D10" s="391">
        <v>19602655396</v>
      </c>
      <c r="E10" s="392">
        <v>18418213</v>
      </c>
      <c r="F10" s="92"/>
      <c r="G10" s="92"/>
    </row>
    <row r="11" spans="1:7" ht="15" customHeight="1" thickBot="1">
      <c r="A11" s="650"/>
      <c r="B11" s="583" t="s">
        <v>725</v>
      </c>
      <c r="C11" s="662">
        <f>'1.Összesítő'!G43</f>
        <v>-5045145305</v>
      </c>
      <c r="D11" s="662">
        <v>-4941033647</v>
      </c>
      <c r="E11" s="903">
        <v>-4649294</v>
      </c>
      <c r="F11" s="92"/>
      <c r="G11" s="92"/>
    </row>
    <row r="12" spans="1:7" ht="15" customHeight="1" thickBot="1">
      <c r="A12" s="599"/>
      <c r="B12" s="600" t="s">
        <v>151</v>
      </c>
      <c r="C12" s="601">
        <f>SUM(C9:C10)+C11</f>
        <v>8165732879</v>
      </c>
      <c r="D12" s="601">
        <f>SUM(D9:D10)+D11</f>
        <v>22979994952</v>
      </c>
      <c r="E12" s="1715">
        <f>SUM(E9:E10)+E11</f>
        <v>21969073</v>
      </c>
      <c r="F12" s="92" t="s">
        <v>1039</v>
      </c>
      <c r="G12" s="92"/>
    </row>
    <row r="13" spans="1:7" ht="15" customHeight="1">
      <c r="A13" s="663" t="s">
        <v>187</v>
      </c>
      <c r="B13" s="584" t="s">
        <v>145</v>
      </c>
      <c r="C13" s="394">
        <f>'1.Összesítő'!G14</f>
        <v>1019000000</v>
      </c>
      <c r="D13" s="394">
        <v>31370588</v>
      </c>
      <c r="E13" s="395">
        <v>429607</v>
      </c>
      <c r="F13" s="92"/>
      <c r="G13" s="92"/>
    </row>
    <row r="14" spans="1:7" ht="15" customHeight="1">
      <c r="A14" s="649"/>
      <c r="B14" s="575" t="s">
        <v>507</v>
      </c>
      <c r="C14" s="298"/>
      <c r="D14" s="391"/>
      <c r="E14" s="392"/>
      <c r="F14" s="92"/>
      <c r="G14" s="92"/>
    </row>
    <row r="15" spans="1:7" ht="15" customHeight="1">
      <c r="A15" s="649" t="s">
        <v>146</v>
      </c>
      <c r="B15" s="575" t="s">
        <v>157</v>
      </c>
      <c r="C15" s="391">
        <f>'1.Összesítő'!G16</f>
        <v>233700000</v>
      </c>
      <c r="D15" s="391">
        <v>92851330</v>
      </c>
      <c r="E15" s="392">
        <v>41416</v>
      </c>
      <c r="F15" s="92"/>
      <c r="G15" s="92"/>
    </row>
    <row r="16" spans="1:7" ht="15" customHeight="1">
      <c r="A16" s="649" t="s">
        <v>147</v>
      </c>
      <c r="B16" s="575" t="s">
        <v>474</v>
      </c>
      <c r="C16" s="391">
        <f>'1.Összesítő'!G17</f>
        <v>19400000</v>
      </c>
      <c r="D16" s="391">
        <v>15501920</v>
      </c>
      <c r="E16" s="392">
        <v>11796</v>
      </c>
      <c r="F16" s="92"/>
      <c r="G16" s="92"/>
    </row>
    <row r="17" spans="1:7" ht="15" customHeight="1">
      <c r="A17" s="648"/>
      <c r="B17" s="645" t="s">
        <v>155</v>
      </c>
      <c r="C17" s="661">
        <f>SUM(C13:C16)</f>
        <v>1272100000</v>
      </c>
      <c r="D17" s="661">
        <f>SUM(D13:D16)</f>
        <v>139723838</v>
      </c>
      <c r="E17" s="688">
        <f>SUM(E13:E16)</f>
        <v>482819</v>
      </c>
      <c r="F17" s="92"/>
      <c r="G17" s="92"/>
    </row>
    <row r="18" spans="1:7" ht="15" customHeight="1">
      <c r="A18" s="649" t="s">
        <v>477</v>
      </c>
      <c r="B18" s="575" t="s">
        <v>154</v>
      </c>
      <c r="C18" s="391">
        <f>'1.Összesítő'!G22</f>
        <v>1899635416</v>
      </c>
      <c r="D18" s="391">
        <v>173406481</v>
      </c>
      <c r="E18" s="392">
        <v>1297895</v>
      </c>
      <c r="F18" s="92"/>
      <c r="G18" s="92"/>
    </row>
    <row r="19" spans="1:7" ht="15" customHeight="1" thickBot="1">
      <c r="A19" s="650"/>
      <c r="B19" s="583" t="s">
        <v>725</v>
      </c>
      <c r="C19" s="662">
        <f>'1.Összesítő'!G54</f>
        <v>-151249400</v>
      </c>
      <c r="D19" s="662">
        <v>-173406481</v>
      </c>
      <c r="E19" s="903">
        <v>-177538</v>
      </c>
      <c r="F19" s="92"/>
      <c r="G19" s="92"/>
    </row>
    <row r="20" spans="1:7" ht="15" customHeight="1" thickBot="1">
      <c r="A20" s="599"/>
      <c r="B20" s="600" t="s">
        <v>156</v>
      </c>
      <c r="C20" s="674">
        <f>SUM(C17:C18)+C19</f>
        <v>3020486016</v>
      </c>
      <c r="D20" s="674">
        <f>SUM(D17:D18)+D19</f>
        <v>139723838</v>
      </c>
      <c r="E20" s="1716">
        <f>SUM(E17:E18)+E19</f>
        <v>1603176</v>
      </c>
      <c r="F20" s="92"/>
      <c r="G20" s="92"/>
    </row>
    <row r="21" spans="1:7" s="306" customFormat="1" ht="19.5" customHeight="1" thickBot="1">
      <c r="A21" s="599"/>
      <c r="B21" s="600" t="s">
        <v>555</v>
      </c>
      <c r="C21" s="629">
        <f>C12+C20</f>
        <v>11186218895</v>
      </c>
      <c r="D21" s="629">
        <f>D12+D20</f>
        <v>23119718790</v>
      </c>
      <c r="E21" s="1717">
        <f>E12+E20</f>
        <v>23572249</v>
      </c>
      <c r="F21" s="305"/>
      <c r="G21" s="305"/>
    </row>
    <row r="23" spans="2:7" ht="12.75">
      <c r="B23" s="92"/>
      <c r="C23" s="289"/>
      <c r="D23" s="92"/>
      <c r="E23" s="92"/>
      <c r="F23" s="92"/>
      <c r="G23" s="92"/>
    </row>
    <row r="24" spans="2:5" ht="13.5" thickBot="1">
      <c r="B24" s="1771" t="s">
        <v>449</v>
      </c>
      <c r="C24" s="1771"/>
      <c r="D24" s="1771"/>
      <c r="E24" s="1771"/>
    </row>
    <row r="25" spans="1:5" ht="26.25" customHeight="1">
      <c r="A25" s="1766" t="s">
        <v>569</v>
      </c>
      <c r="B25" s="1769" t="s">
        <v>317</v>
      </c>
      <c r="C25" s="1762" t="s">
        <v>1221</v>
      </c>
      <c r="D25" s="1762" t="s">
        <v>1220</v>
      </c>
      <c r="E25" s="1832" t="s">
        <v>1219</v>
      </c>
    </row>
    <row r="26" spans="1:5" ht="13.5" thickBot="1">
      <c r="A26" s="1767"/>
      <c r="B26" s="1775"/>
      <c r="C26" s="1773"/>
      <c r="D26" s="1773"/>
      <c r="E26" s="1833"/>
    </row>
    <row r="27" spans="1:5" ht="15" customHeight="1">
      <c r="A27" s="570" t="s">
        <v>104</v>
      </c>
      <c r="B27" s="574" t="s">
        <v>105</v>
      </c>
      <c r="C27" s="664">
        <f>'1.Összesítő'!G33</f>
        <v>3304098806</v>
      </c>
      <c r="D27" s="665">
        <v>3073192448</v>
      </c>
      <c r="E27" s="666">
        <v>2855264</v>
      </c>
    </row>
    <row r="28" spans="1:5" ht="25.5">
      <c r="A28" s="571" t="s">
        <v>106</v>
      </c>
      <c r="B28" s="481" t="s">
        <v>107</v>
      </c>
      <c r="C28" s="668">
        <f>'1.Összesítő'!G34</f>
        <v>797411871</v>
      </c>
      <c r="D28" s="438">
        <v>865245824</v>
      </c>
      <c r="E28" s="398">
        <v>790086</v>
      </c>
    </row>
    <row r="29" spans="1:5" ht="15" customHeight="1">
      <c r="A29" s="571" t="s">
        <v>108</v>
      </c>
      <c r="B29" s="575" t="s">
        <v>109</v>
      </c>
      <c r="C29" s="668">
        <f>'1.Összesítő'!G35</f>
        <v>3321545377</v>
      </c>
      <c r="D29" s="438">
        <v>3167528506</v>
      </c>
      <c r="E29" s="398">
        <v>3103841</v>
      </c>
    </row>
    <row r="30" spans="1:5" ht="15" customHeight="1">
      <c r="A30" s="571" t="s">
        <v>110</v>
      </c>
      <c r="B30" s="575" t="s">
        <v>111</v>
      </c>
      <c r="C30" s="668">
        <f>'1.Összesítő'!G36</f>
        <v>117500000</v>
      </c>
      <c r="D30" s="668">
        <v>95063057</v>
      </c>
      <c r="E30" s="669">
        <v>181778</v>
      </c>
    </row>
    <row r="31" spans="1:5" ht="15" customHeight="1">
      <c r="A31" s="571" t="s">
        <v>112</v>
      </c>
      <c r="B31" s="575" t="s">
        <v>113</v>
      </c>
      <c r="C31" s="668">
        <f>'1.Összesítő'!G37</f>
        <v>901167729</v>
      </c>
      <c r="D31" s="668">
        <v>194967063</v>
      </c>
      <c r="E31" s="669">
        <v>177267</v>
      </c>
    </row>
    <row r="32" spans="1:5" ht="15" customHeight="1">
      <c r="A32" s="649"/>
      <c r="B32" s="429" t="s">
        <v>1008</v>
      </c>
      <c r="C32" s="668">
        <f>-'2.3.Kiad.'!G17</f>
        <v>-336810000</v>
      </c>
      <c r="D32" s="438"/>
      <c r="E32" s="398"/>
    </row>
    <row r="33" spans="1:5" ht="15" customHeight="1">
      <c r="A33" s="648"/>
      <c r="B33" s="645" t="s">
        <v>166</v>
      </c>
      <c r="C33" s="667">
        <f>SUM(C27:C32)</f>
        <v>8104913783</v>
      </c>
      <c r="D33" s="667">
        <f>SUM(D27:D32)</f>
        <v>7395996898</v>
      </c>
      <c r="E33" s="686">
        <f>SUM(E27:E32)</f>
        <v>7108236</v>
      </c>
    </row>
    <row r="34" spans="1:5" ht="15" customHeight="1">
      <c r="A34" s="649" t="s">
        <v>129</v>
      </c>
      <c r="B34" s="575" t="s">
        <v>167</v>
      </c>
      <c r="C34" s="668">
        <f>'1.Összesítő'!G42</f>
        <v>5100673601</v>
      </c>
      <c r="D34" s="438">
        <v>18074651512</v>
      </c>
      <c r="E34" s="398">
        <v>18084970</v>
      </c>
    </row>
    <row r="35" spans="1:5" ht="15" customHeight="1" thickBot="1">
      <c r="A35" s="670"/>
      <c r="B35" s="594" t="s">
        <v>725</v>
      </c>
      <c r="C35" s="605">
        <f>'1.Összesítő'!G43</f>
        <v>-5045145305</v>
      </c>
      <c r="D35" s="550">
        <v>-4941033647</v>
      </c>
      <c r="E35" s="904">
        <v>-4649294</v>
      </c>
    </row>
    <row r="36" spans="1:6" ht="15" customHeight="1" thickBot="1">
      <c r="A36" s="599"/>
      <c r="B36" s="600" t="s">
        <v>168</v>
      </c>
      <c r="C36" s="675">
        <f>SUM(C33:C34)+C35</f>
        <v>8160442079</v>
      </c>
      <c r="D36" s="675">
        <f>SUM(D33:D34)+D35</f>
        <v>20529614763</v>
      </c>
      <c r="E36" s="1718">
        <f>SUM(E33:E34)+E35</f>
        <v>20543912</v>
      </c>
      <c r="F36" t="s">
        <v>1039</v>
      </c>
    </row>
    <row r="37" spans="1:5" ht="15" customHeight="1">
      <c r="A37" s="660" t="s">
        <v>548</v>
      </c>
      <c r="B37" s="574" t="s">
        <v>121</v>
      </c>
      <c r="C37" s="664">
        <f>'1.Összesítő'!G45</f>
        <v>2278180516</v>
      </c>
      <c r="D37" s="665">
        <v>611992395</v>
      </c>
      <c r="E37" s="666">
        <v>496367</v>
      </c>
    </row>
    <row r="38" spans="1:5" ht="15" customHeight="1">
      <c r="A38" s="649" t="s">
        <v>122</v>
      </c>
      <c r="B38" s="575" t="s">
        <v>123</v>
      </c>
      <c r="C38" s="668">
        <f>'1.Összesítő'!G46</f>
        <v>262804239</v>
      </c>
      <c r="D38" s="668">
        <v>200265679</v>
      </c>
      <c r="E38" s="669">
        <v>969081</v>
      </c>
    </row>
    <row r="39" spans="1:5" ht="12.75">
      <c r="A39" s="649" t="s">
        <v>124</v>
      </c>
      <c r="B39" s="575" t="s">
        <v>125</v>
      </c>
      <c r="C39" s="668">
        <f>'1.Összesítő'!G47</f>
        <v>35782061</v>
      </c>
      <c r="D39" s="438">
        <v>14890056</v>
      </c>
      <c r="E39" s="398">
        <v>33790</v>
      </c>
    </row>
    <row r="40" spans="1:5" ht="15" customHeight="1">
      <c r="A40" s="649"/>
      <c r="B40" s="575" t="s">
        <v>508</v>
      </c>
      <c r="C40" s="668">
        <f>'2.3.Kiad.'!G17</f>
        <v>336810000</v>
      </c>
      <c r="D40" s="668"/>
      <c r="E40" s="669"/>
    </row>
    <row r="41" spans="1:5" ht="15" customHeight="1">
      <c r="A41" s="648"/>
      <c r="B41" s="645" t="s">
        <v>169</v>
      </c>
      <c r="C41" s="1080">
        <f>SUM(C37:C40)</f>
        <v>2913576816</v>
      </c>
      <c r="D41" s="1080">
        <f>SUM(D37:D40)</f>
        <v>827148130</v>
      </c>
      <c r="E41" s="1081">
        <f>SUM(E37:E40)</f>
        <v>1499238</v>
      </c>
    </row>
    <row r="42" spans="1:5" ht="15" customHeight="1">
      <c r="A42" s="649" t="s">
        <v>129</v>
      </c>
      <c r="B42" s="575" t="s">
        <v>170</v>
      </c>
      <c r="C42" s="668">
        <f>'1.Összesítő'!G53</f>
        <v>263449400</v>
      </c>
      <c r="D42" s="668">
        <v>173406481</v>
      </c>
      <c r="E42" s="669">
        <v>177538</v>
      </c>
    </row>
    <row r="43" spans="1:5" ht="15" customHeight="1" thickBot="1">
      <c r="A43" s="670"/>
      <c r="B43" s="594" t="s">
        <v>725</v>
      </c>
      <c r="C43" s="605">
        <f>'1.Összesítő'!G54</f>
        <v>-151249400</v>
      </c>
      <c r="D43" s="550">
        <v>-173406481</v>
      </c>
      <c r="E43" s="904">
        <v>-177538</v>
      </c>
    </row>
    <row r="44" spans="1:5" ht="15" customHeight="1" thickBot="1">
      <c r="A44" s="599"/>
      <c r="B44" s="600" t="s">
        <v>171</v>
      </c>
      <c r="C44" s="675">
        <f>SUM(C41:C42)+C43</f>
        <v>3025776816</v>
      </c>
      <c r="D44" s="675">
        <f>SUM(D41:D42)+D43</f>
        <v>827148130</v>
      </c>
      <c r="E44" s="1718">
        <f>SUM(E41:E42)+E43</f>
        <v>1499238</v>
      </c>
    </row>
    <row r="45" spans="1:5" ht="15" customHeight="1" thickBot="1">
      <c r="A45" s="599"/>
      <c r="B45" s="600" t="s">
        <v>164</v>
      </c>
      <c r="C45" s="675">
        <f>C36+C44</f>
        <v>11186218895</v>
      </c>
      <c r="D45" s="675">
        <f>D36+D44</f>
        <v>21356762893</v>
      </c>
      <c r="E45" s="1718">
        <f>E36+E44</f>
        <v>22043150</v>
      </c>
    </row>
    <row r="46" spans="2:5" ht="12.75">
      <c r="B46" s="234"/>
      <c r="C46" s="307"/>
      <c r="D46" s="307"/>
      <c r="E46" s="307"/>
    </row>
    <row r="47" spans="2:4" ht="12.75">
      <c r="B47" s="92"/>
      <c r="C47" s="294"/>
      <c r="D47" s="304"/>
    </row>
    <row r="48" spans="1:4" ht="12.75">
      <c r="A48" t="s">
        <v>1039</v>
      </c>
      <c r="B48" s="93" t="s">
        <v>1222</v>
      </c>
      <c r="C48" s="94"/>
      <c r="D48" s="93"/>
    </row>
  </sheetData>
  <sheetProtection/>
  <mergeCells count="12">
    <mergeCell ref="A2:A3"/>
    <mergeCell ref="A25:A26"/>
    <mergeCell ref="B25:B26"/>
    <mergeCell ref="B24:E24"/>
    <mergeCell ref="C25:C26"/>
    <mergeCell ref="B1:E1"/>
    <mergeCell ref="E2:E3"/>
    <mergeCell ref="B2:B3"/>
    <mergeCell ref="C2:C3"/>
    <mergeCell ref="D2:D3"/>
    <mergeCell ref="D25:D26"/>
    <mergeCell ref="E25:E26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72" r:id="rId1"/>
  <headerFooter alignWithMargins="0">
    <oddHeader>&amp;LTÁJÉKOZTATÓ TÁBLA!&amp;C&amp;"Times New Roman,Normál"Bevételek és kiadások 
Áht. 102. § (3) bekezdése szerinti mérlege
(e Ft)&amp;R&amp;"Times New Roman,Normál"1.3.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Ktgv1</dc:title>
  <dc:subject>költségvetés 97.évi első változat</dc:subject>
  <dc:creator>Dr. Fodor Eszter</dc:creator>
  <cp:keywords/>
  <dc:description/>
  <cp:lastModifiedBy>Kaposvári Nóra</cp:lastModifiedBy>
  <cp:lastPrinted>2017-02-03T08:10:24Z</cp:lastPrinted>
  <dcterms:created xsi:type="dcterms:W3CDTF">2002-09-13T10:18:39Z</dcterms:created>
  <dcterms:modified xsi:type="dcterms:W3CDTF">2017-02-03T08:12:06Z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1170111034</vt:i4>
  </property>
  <property fmtid="{D5CDD505-2E9C-101B-9397-08002B2CF9AE}" pid="3" name="_EmailSubject">
    <vt:lpwstr>4. módosítás</vt:lpwstr>
  </property>
  <property fmtid="{D5CDD505-2E9C-101B-9397-08002B2CF9AE}" pid="4" name="_AuthorEmail">
    <vt:lpwstr>janzerlaszlo@vnet.hu</vt:lpwstr>
  </property>
  <property fmtid="{D5CDD505-2E9C-101B-9397-08002B2CF9AE}" pid="5" name="_AuthorEmailDisplayName">
    <vt:lpwstr>janzerlaszlo</vt:lpwstr>
  </property>
  <property fmtid="{D5CDD505-2E9C-101B-9397-08002B2CF9AE}" pid="6" name="_PreviousAdHocReviewCycleID">
    <vt:i4>1746945269</vt:i4>
  </property>
  <property fmtid="{D5CDD505-2E9C-101B-9397-08002B2CF9AE}" pid="7" name="_ReviewingToolsShownOnce">
    <vt:lpwstr/>
  </property>
</Properties>
</file>